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xampp\htdocs\DeriscopeWeb\Site\excel\examples\bond\"/>
    </mc:Choice>
  </mc:AlternateContent>
  <xr:revisionPtr revIDLastSave="0" documentId="13_ncr:1_{5B2ECBBA-A136-4379-B258-FBC02C46BD7A}" xr6:coauthVersionLast="47" xr6:coauthVersionMax="47" xr10:uidLastSave="{00000000-0000-0000-0000-000000000000}"/>
  <bookViews>
    <workbookView xWindow="-120" yWindow="-120" windowWidth="29040" windowHeight="15840" xr2:uid="{EF750861-40EC-4AE7-A7EC-E6D15360B67A}"/>
  </bookViews>
  <sheets>
    <sheet name="Info" sheetId="2" r:id="rId1"/>
    <sheet name="Curves" sheetId="3" r:id="rId2"/>
    <sheet name="CarryRoll" sheetId="1" r:id="rId3"/>
    <sheet name="Portfolio" sheetId="4" r:id="rId4"/>
  </sheets>
  <calcPr calcId="191029" calcMode="manual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9" i="1" l="1"/>
  <c r="I17" i="4"/>
  <c r="I16" i="4"/>
  <c r="D22" i="4"/>
  <c r="D8" i="3"/>
  <c r="BD21" i="1"/>
  <c r="BD9" i="1"/>
  <c r="BN8" i="1"/>
  <c r="BC16" i="1" a="1"/>
  <c r="H22" i="4" a="1"/>
  <c r="H28" i="1" a="1"/>
  <c r="C15" i="3" a="1"/>
  <c r="H22" i="4" l="1"/>
  <c r="K10" i="4" s="1"/>
  <c r="C15" i="3"/>
  <c r="D11" i="3" s="1"/>
  <c r="BC16" i="1"/>
  <c r="H28" i="1"/>
  <c r="I25" i="1"/>
  <c r="D36" i="1"/>
  <c r="D34" i="1"/>
  <c r="D33" i="1"/>
  <c r="D32" i="1"/>
  <c r="D30" i="1"/>
  <c r="D45" i="1"/>
  <c r="D44" i="1"/>
  <c r="D42" i="1"/>
  <c r="C4" i="3" a="1"/>
  <c r="C4" i="3" l="1"/>
  <c r="AE13" i="1"/>
  <c r="Z31" i="1"/>
  <c r="AY21" i="1"/>
  <c r="Z41" i="1"/>
  <c r="AE11" i="1"/>
  <c r="AJ7" i="1"/>
  <c r="I26" i="1" l="1"/>
  <c r="AE9" i="1"/>
  <c r="AO11" i="1"/>
  <c r="Y36" i="1" a="1"/>
  <c r="AX16" i="1" a="1"/>
  <c r="AX16" i="1" l="1"/>
  <c r="Y36" i="1"/>
  <c r="Z29" i="1" l="1"/>
  <c r="I18" i="4"/>
  <c r="AY12" i="1"/>
  <c r="BD12" i="1"/>
  <c r="Z12" i="1"/>
  <c r="BD11" i="1"/>
  <c r="AO12" i="1"/>
  <c r="AE12" i="1"/>
  <c r="C39" i="1" a="1"/>
  <c r="I18" i="1" a="1"/>
  <c r="I18" i="1" l="1"/>
  <c r="Z33" i="1"/>
  <c r="BI12" i="1"/>
  <c r="BI21" i="1"/>
  <c r="AE10" i="1"/>
  <c r="C39" i="1"/>
  <c r="BN24" i="1"/>
  <c r="AT13" i="1"/>
  <c r="BN31" i="1"/>
  <c r="AT7" i="1"/>
  <c r="AY11" i="1"/>
  <c r="D31" i="1" l="1"/>
  <c r="D19" i="4"/>
  <c r="C26" i="1" a="1"/>
  <c r="C18" i="4" a="1"/>
  <c r="C18" i="4" l="1"/>
  <c r="D16" i="4" s="1"/>
  <c r="C26" i="1"/>
  <c r="Z9" i="1" s="1"/>
  <c r="AJ12" i="1"/>
  <c r="Z47" i="1"/>
  <c r="AJ5" i="1"/>
  <c r="AE7" i="1"/>
  <c r="AO7" i="1"/>
  <c r="AY7" i="1"/>
  <c r="AT5" i="1"/>
  <c r="AT17" i="1"/>
  <c r="BI35" i="1"/>
  <c r="Z18" i="1" a="1"/>
  <c r="BH34" i="1" a="1"/>
  <c r="D23" i="1" a="1"/>
  <c r="I22" i="1" l="1"/>
  <c r="D23" i="1"/>
  <c r="Z18" i="1"/>
  <c r="BD7" i="1"/>
  <c r="D13" i="4"/>
  <c r="C9" i="4"/>
  <c r="BH34" i="1"/>
  <c r="BN18" i="1"/>
  <c r="Z32" i="1"/>
  <c r="Z50" i="1"/>
  <c r="H21" i="1" a="1"/>
  <c r="Y28" i="1" a="1"/>
  <c r="I16" i="1" a="1"/>
  <c r="BD6" i="1" a="1"/>
  <c r="Y46" i="1" a="1"/>
  <c r="C12" i="4" a="1"/>
  <c r="H21" i="1" l="1"/>
  <c r="BD6" i="1"/>
  <c r="C12" i="4"/>
  <c r="C10" i="4" s="1"/>
  <c r="I16" i="1"/>
  <c r="AO14" i="1"/>
  <c r="I20" i="4"/>
  <c r="Y46" i="1"/>
  <c r="Y28" i="1"/>
  <c r="BI27" i="1"/>
  <c r="BI9" i="1"/>
  <c r="BI18" i="1"/>
  <c r="AJ8" i="1"/>
  <c r="AO10" i="1"/>
  <c r="AJ15" i="1"/>
  <c r="AY9" i="1"/>
  <c r="BN33" i="1"/>
  <c r="AT19" i="1"/>
  <c r="AE14" i="1"/>
  <c r="M5" i="1" a="1"/>
  <c r="N5" i="1" a="1"/>
  <c r="H12" i="4" a="1"/>
  <c r="AI4" i="1" a="1"/>
  <c r="BM30" i="1" a="1"/>
  <c r="AO6" i="1" a="1"/>
  <c r="AY6" i="1" a="1"/>
  <c r="AE6" i="1" a="1"/>
  <c r="H13" i="1" a="1"/>
  <c r="C4" i="4" a="1"/>
  <c r="AS4" i="1" a="1"/>
  <c r="AS16" i="1" a="1"/>
  <c r="N5" i="1" l="1"/>
  <c r="M5" i="1"/>
  <c r="I5" i="1"/>
  <c r="H13" i="1"/>
  <c r="I10" i="1" s="1"/>
  <c r="C4" i="4"/>
  <c r="I10" i="4" s="1"/>
  <c r="H12" i="4"/>
  <c r="J10" i="4" s="1"/>
  <c r="AO6" i="1"/>
  <c r="AY6" i="1"/>
  <c r="Z25" i="1"/>
  <c r="N4" i="1"/>
  <c r="AE6" i="1"/>
  <c r="AJ14" i="1" s="1"/>
  <c r="AI4" i="1"/>
  <c r="BM30" i="1"/>
  <c r="AS16" i="1"/>
  <c r="AS4" i="1"/>
  <c r="H4" i="4" a="1"/>
  <c r="R6" i="1" a="1"/>
  <c r="H4" i="1" a="1"/>
  <c r="AI11" i="1" a="1"/>
  <c r="S6" i="1" a="1"/>
  <c r="H4" i="4" l="1"/>
  <c r="P5" i="4" s="1"/>
  <c r="H4" i="1"/>
  <c r="S6" i="1"/>
  <c r="R6" i="1"/>
  <c r="AI11" i="1"/>
  <c r="AO5" i="1" s="1"/>
  <c r="AO4" i="1" s="1"/>
  <c r="BN28" i="1"/>
  <c r="AT11" i="1"/>
  <c r="O4" i="4" a="1"/>
  <c r="T6" i="1" a="1"/>
  <c r="BM23" i="1" a="1"/>
  <c r="AS10" i="1" a="1"/>
  <c r="O4" i="4" l="1"/>
  <c r="T6" i="1"/>
  <c r="U6" i="1" a="1"/>
  <c r="U6" i="1" s="1"/>
  <c r="U4" i="1" s="1"/>
  <c r="BM23" i="1"/>
  <c r="AS10" i="1"/>
  <c r="AY5" i="1" s="1"/>
  <c r="AY4" i="1" s="1"/>
  <c r="T4" i="4" a="1"/>
  <c r="T4" i="4" l="1"/>
  <c r="Z24" i="1"/>
  <c r="Y23" i="1" s="1"/>
  <c r="Y17" i="1" s="1"/>
  <c r="Z11" i="1" s="1"/>
  <c r="BN14" i="1"/>
  <c r="BM13" i="1" a="1"/>
  <c r="Y8" i="1" a="1"/>
  <c r="Y8" i="1" l="1"/>
  <c r="AE5" i="1" s="1"/>
  <c r="AE4" i="1" s="1"/>
  <c r="BM13" i="1"/>
  <c r="BN5" i="1" s="1"/>
  <c r="BM4" i="1" a="1"/>
  <c r="BM4" i="1" l="1"/>
  <c r="BI29" i="1" s="1"/>
  <c r="BH26" i="1" a="1"/>
  <c r="BH26" i="1" l="1"/>
  <c r="BI20" i="1" s="1"/>
  <c r="BH17" i="1" a="1"/>
  <c r="BH17" i="1" l="1"/>
  <c r="BI11" i="1" s="1"/>
  <c r="BH8" i="1" a="1"/>
  <c r="BH8" i="1" l="1"/>
  <c r="BD5" i="1" s="1"/>
  <c r="BD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<sst xmlns="http://schemas.openxmlformats.org/spreadsheetml/2006/main" count="388" uniqueCount="214">
  <si>
    <t>Type=</t>
  </si>
  <si>
    <t>Fxd Rate Bond</t>
  </si>
  <si>
    <t>Function=</t>
  </si>
  <si>
    <t>Create</t>
  </si>
  <si>
    <t>Issuer=</t>
  </si>
  <si>
    <t>%PUBLIC|US</t>
  </si>
  <si>
    <t>Settle Days=</t>
  </si>
  <si>
    <t>Accrual Schedule=</t>
  </si>
  <si>
    <t>Pmt Delay=</t>
  </si>
  <si>
    <t>%0D{US}</t>
  </si>
  <si>
    <t>Redemption=</t>
  </si>
  <si>
    <t>Schedule</t>
  </si>
  <si>
    <t>CREATE</t>
  </si>
  <si>
    <t>Start Date=</t>
  </si>
  <si>
    <t>Define Tenor=</t>
  </si>
  <si>
    <t>End Date=</t>
  </si>
  <si>
    <t>Step=</t>
  </si>
  <si>
    <t>Date Bump End=</t>
  </si>
  <si>
    <t>Calendar=</t>
  </si>
  <si>
    <t>%US</t>
  </si>
  <si>
    <t>Rule=</t>
  </si>
  <si>
    <t>Backward</t>
  </si>
  <si>
    <t>Object=</t>
  </si>
  <si>
    <t>Notional=</t>
  </si>
  <si>
    <t>Carry</t>
  </si>
  <si>
    <t>Clean Price=</t>
  </si>
  <si>
    <t>Repo Def=</t>
  </si>
  <si>
    <t>Ref Date=</t>
  </si>
  <si>
    <t>Int Rate Spec</t>
  </si>
  <si>
    <t>Compounding=</t>
  </si>
  <si>
    <t>Simple</t>
  </si>
  <si>
    <t>DayCount=</t>
  </si>
  <si>
    <t>%ACT/365F</t>
  </si>
  <si>
    <t>Yield</t>
  </si>
  <si>
    <t>Fwd Clean Price</t>
  </si>
  <si>
    <t>Out Unit=</t>
  </si>
  <si>
    <t>bp</t>
  </si>
  <si>
    <t>Repo Rate(%)=</t>
  </si>
  <si>
    <t>Clone</t>
  </si>
  <si>
    <t>Horizon Date=</t>
  </si>
  <si>
    <t>Rolldown</t>
  </si>
  <si>
    <t>Disc Crv=</t>
  </si>
  <si>
    <t>Yield Curve</t>
  </si>
  <si>
    <t>Currency=</t>
  </si>
  <si>
    <t>%USD</t>
  </si>
  <si>
    <t>Yield Def=</t>
  </si>
  <si>
    <t>Market Data=</t>
  </si>
  <si>
    <t>Modelled Qty=</t>
  </si>
  <si>
    <t>Zero Yield</t>
  </si>
  <si>
    <t>Interp Method=</t>
  </si>
  <si>
    <t>Linear</t>
  </si>
  <si>
    <t>Yield Curve Dep</t>
  </si>
  <si>
    <t>Set=</t>
  </si>
  <si>
    <t>#Maturity</t>
  </si>
  <si>
    <t>#Rate</t>
  </si>
  <si>
    <t>%1M</t>
  </si>
  <si>
    <t>%2M</t>
  </si>
  <si>
    <t>%3M</t>
  </si>
  <si>
    <t>%6M</t>
  </si>
  <si>
    <t>%2Y</t>
  </si>
  <si>
    <t>%3Y</t>
  </si>
  <si>
    <t>%4Y</t>
  </si>
  <si>
    <t>%5Y</t>
  </si>
  <si>
    <t>Shift Maturity</t>
  </si>
  <si>
    <t>Shift=</t>
  </si>
  <si>
    <t>Shift Curve</t>
  </si>
  <si>
    <t>Date Spec=</t>
  </si>
  <si>
    <t>DF Multiplier=</t>
  </si>
  <si>
    <t>By Date</t>
  </si>
  <si>
    <t>DF</t>
  </si>
  <si>
    <t>Maturity=</t>
  </si>
  <si>
    <t>Clean Price</t>
  </si>
  <si>
    <t>Dirty Price</t>
  </si>
  <si>
    <t>By Period Plus</t>
  </si>
  <si>
    <t>Dirty Price=</t>
  </si>
  <si>
    <t>Handle=</t>
  </si>
  <si>
    <t>%F</t>
  </si>
  <si>
    <t>Horizon Date:</t>
  </si>
  <si>
    <t>Clean Price:</t>
  </si>
  <si>
    <t>Bond Settlement:</t>
  </si>
  <si>
    <t>Bond Object</t>
  </si>
  <si>
    <t>Bond Schedule Object</t>
  </si>
  <si>
    <t>Date Info</t>
  </si>
  <si>
    <t>Repo Rate(%):</t>
  </si>
  <si>
    <t>Spot Date:</t>
  </si>
  <si>
    <t>Forward Yield at Horizon</t>
  </si>
  <si>
    <t>RepoConvs_</t>
  </si>
  <si>
    <t>YieldConvs_</t>
  </si>
  <si>
    <t>Spot Yield based on Clean Price</t>
  </si>
  <si>
    <t>Spot Yield based on Discount Curve</t>
  </si>
  <si>
    <t>Shortened Bond</t>
  </si>
  <si>
    <t>Spot Yield of Shortened Bond</t>
  </si>
  <si>
    <t>ZeroSettled_</t>
  </si>
  <si>
    <t>CRV1_</t>
  </si>
  <si>
    <t>STEP 1: Create CRV1 (forward curve)</t>
  </si>
  <si>
    <t>STEP 2: Create CRV2 (centered at spot)</t>
  </si>
  <si>
    <t>CRV2_</t>
  </si>
  <si>
    <t>CRV3_</t>
  </si>
  <si>
    <t>STEP 3: Create CRV3 (rolled curve)</t>
  </si>
  <si>
    <t>STEP 4: Create the zero settled Bond</t>
  </si>
  <si>
    <t>STEP 5: Calculate the rolled dirty price at Hor</t>
  </si>
  <si>
    <t>STEP 6: Calculate the clean price at Hor</t>
  </si>
  <si>
    <t>STEP 7: Calculate the yield from clean price</t>
  </si>
  <si>
    <t>Settle Value</t>
  </si>
  <si>
    <t>STEP 1: Spot Settlement Value</t>
  </si>
  <si>
    <t>Repo DayCount:</t>
  </si>
  <si>
    <t>Compound Factor</t>
  </si>
  <si>
    <t>Yield DayCount:</t>
  </si>
  <si>
    <t>Yield Conventions</t>
  </si>
  <si>
    <t>Repo Rate Conventions</t>
  </si>
  <si>
    <t>Rate(%)=</t>
  </si>
  <si>
    <t>Repo Compound Factor</t>
  </si>
  <si>
    <t>STEP 2: Horizon Settlement Value</t>
  </si>
  <si>
    <t>Ex Coupon Prd=</t>
  </si>
  <si>
    <t>%3D</t>
  </si>
  <si>
    <t>#PmtDate</t>
  </si>
  <si>
    <t>Cash Flows</t>
  </si>
  <si>
    <t>CF Spec=</t>
  </si>
  <si>
    <t>CF Model</t>
  </si>
  <si>
    <t>Column Choice=</t>
  </si>
  <si>
    <t>Sorted Columns=</t>
  </si>
  <si>
    <t>Filter Values</t>
  </si>
  <si>
    <t>Titles=</t>
  </si>
  <si>
    <t>Use Criteria=</t>
  </si>
  <si>
    <t>Criteria=</t>
  </si>
  <si>
    <t>Partial Output=</t>
  </si>
  <si>
    <t>Is Within</t>
  </si>
  <si>
    <t>Lower=</t>
  </si>
  <si>
    <t>Incl Lower=</t>
  </si>
  <si>
    <t>Upper=</t>
  </si>
  <si>
    <t>Incl Upper=</t>
  </si>
  <si>
    <t>AllFlows_</t>
  </si>
  <si>
    <t>Coupons_</t>
  </si>
  <si>
    <t>Coupons paid before Horizon</t>
  </si>
  <si>
    <t>Start=</t>
  </si>
  <si>
    <t>End=</t>
  </si>
  <si>
    <t>Cpn Pmt Date</t>
  </si>
  <si>
    <t>Cpn Amount</t>
  </si>
  <si>
    <t>Comp Factor</t>
  </si>
  <si>
    <t>Cpn Hor Value</t>
  </si>
  <si>
    <t>Total:</t>
  </si>
  <si>
    <t>Sum of Horizon Values of all Coupons paid before Horizon</t>
  </si>
  <si>
    <t>Notional at Horizon:</t>
  </si>
  <si>
    <t>Coupon Interest=</t>
  </si>
  <si>
    <t>Coupon Interest:</t>
  </si>
  <si>
    <t>Comp Spot Settle Val:</t>
  </si>
  <si>
    <t>All Cpn Hor Value:</t>
  </si>
  <si>
    <t>STEP 3: Horizon Dirty Price</t>
  </si>
  <si>
    <t>STEP 4: Horizon Clean Price</t>
  </si>
  <si>
    <t>Forward Clean Price Calculation (4 steps)</t>
  </si>
  <si>
    <t>%0D</t>
  </si>
  <si>
    <t>Bond Maturity:</t>
  </si>
  <si>
    <t>Bond Start:</t>
  </si>
  <si>
    <t>Coupon Step:</t>
  </si>
  <si>
    <t>Dates Input</t>
  </si>
  <si>
    <t>Market Data Input</t>
  </si>
  <si>
    <t>Bond Data Input</t>
  </si>
  <si>
    <t>Settle Days:</t>
  </si>
  <si>
    <t>Coupon Rate(%):</t>
  </si>
  <si>
    <t>Notional:</t>
  </si>
  <si>
    <t>Ex Coupon Prd:</t>
  </si>
  <si>
    <t>Pmt Delay:</t>
  </si>
  <si>
    <t>As Of=</t>
  </si>
  <si>
    <t>All Future Cash Flows</t>
  </si>
  <si>
    <t>Index max date:</t>
  </si>
  <si>
    <t>Trade Date=</t>
  </si>
  <si>
    <t>Roll Curve</t>
  </si>
  <si>
    <t>PmtNet</t>
  </si>
  <si>
    <t>Definition=</t>
  </si>
  <si>
    <t>Shorten Spot</t>
  </si>
  <si>
    <t>Rolldown using rolled curves</t>
  </si>
  <si>
    <t>Match:</t>
  </si>
  <si>
    <t>Manual:</t>
  </si>
  <si>
    <t>Deriscope:</t>
  </si>
  <si>
    <t>Carry as Yield Difference</t>
  </si>
  <si>
    <t>Calculation details at:</t>
  </si>
  <si>
    <t>and</t>
  </si>
  <si>
    <t>https://www.deriscope.com/products/Function_Bond__Carry.html</t>
  </si>
  <si>
    <t>https://www.deriscope.com/products/Function_Bond__Rolldown.html</t>
  </si>
  <si>
    <t>Rolldown as Yield Difference</t>
  </si>
  <si>
    <t>Forward Clean Price</t>
  </si>
  <si>
    <t>Rolled Yield Calculation (7 steps)</t>
  </si>
  <si>
    <t>Discounting Yield Curve</t>
  </si>
  <si>
    <t>DiscCrv_</t>
  </si>
  <si>
    <t>%Riskless Issuer</t>
  </si>
  <si>
    <t>%4M</t>
  </si>
  <si>
    <t>%5M</t>
  </si>
  <si>
    <t>%7M</t>
  </si>
  <si>
    <t>%8M</t>
  </si>
  <si>
    <t>%9M</t>
  </si>
  <si>
    <t>%10M</t>
  </si>
  <si>
    <t>%11M</t>
  </si>
  <si>
    <t>%12M</t>
  </si>
  <si>
    <t>Roll Crv to Hor</t>
  </si>
  <si>
    <t>Portfolio Creation</t>
  </si>
  <si>
    <t>Task Creation</t>
  </si>
  <si>
    <t>Task Execution</t>
  </si>
  <si>
    <t>Output</t>
  </si>
  <si>
    <t>Portfolio</t>
  </si>
  <si>
    <t>Task</t>
  </si>
  <si>
    <t>Run</t>
  </si>
  <si>
    <t>CarryTask_</t>
  </si>
  <si>
    <t>Tradables=</t>
  </si>
  <si>
    <t>Functions=</t>
  </si>
  <si>
    <t>#Function</t>
  </si>
  <si>
    <t>#Target</t>
  </si>
  <si>
    <t>#CommonInput</t>
  </si>
  <si>
    <t>KeySet</t>
  </si>
  <si>
    <t>Bond2_</t>
  </si>
  <si>
    <t>Sched2_</t>
  </si>
  <si>
    <t>#VaryingInput</t>
  </si>
  <si>
    <t>CarryCommonInput_</t>
  </si>
  <si>
    <t>CarryVaryingInput_</t>
  </si>
  <si>
    <t>Pmt Lag=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</si>
</sst>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dd\-mmm\-yyyy"/>
    <numFmt numFmtId="165" formatCode="_(* #,##0_);_(* \(#,##0\);_(* &quot;-&quot;??_);_(@_)"/>
    <numFmt numFmtId="166" formatCode="0.0000%"/>
    <numFmt numFmtId="167" formatCode="0.0000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008000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AD2BE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rgb="FFD3D3D3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164" fontId="0" fillId="0" borderId="0" xfId="0" applyNumberFormat="1"/>
    <xf numFmtId="0" fontId="1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4" xfId="0" applyFill="1" applyBorder="1"/>
    <xf numFmtId="0" fontId="0" fillId="3" borderId="5" xfId="0" applyFill="1" applyBorder="1"/>
    <xf numFmtId="0" fontId="2" fillId="3" borderId="5" xfId="0" applyFont="1" applyFill="1" applyBorder="1" applyAlignment="1">
      <alignment horizontal="right"/>
    </xf>
    <xf numFmtId="0" fontId="0" fillId="4" borderId="0" xfId="0" applyFill="1"/>
    <xf numFmtId="0" fontId="1" fillId="4" borderId="0" xfId="0" applyFont="1" applyFill="1" applyAlignment="1">
      <alignment horizontal="right"/>
    </xf>
    <xf numFmtId="0" fontId="2" fillId="4" borderId="0" xfId="0" applyFont="1" applyFill="1" applyAlignment="1">
      <alignment horizontal="right"/>
    </xf>
    <xf numFmtId="164" fontId="3" fillId="0" borderId="0" xfId="0" applyNumberFormat="1" applyFont="1"/>
    <xf numFmtId="0" fontId="2" fillId="3" borderId="4" xfId="0" applyFont="1" applyFill="1" applyBorder="1" applyAlignment="1">
      <alignment horizontal="right"/>
    </xf>
    <xf numFmtId="164" fontId="3" fillId="3" borderId="5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3" fillId="3" borderId="5" xfId="0" applyFont="1" applyFill="1" applyBorder="1" applyAlignment="1">
      <alignment horizontal="right"/>
    </xf>
    <xf numFmtId="164" fontId="2" fillId="3" borderId="2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164" fontId="2" fillId="3" borderId="7" xfId="0" applyNumberFormat="1" applyFont="1" applyFill="1" applyBorder="1" applyAlignment="1">
      <alignment horizontal="right"/>
    </xf>
    <xf numFmtId="164" fontId="2" fillId="3" borderId="8" xfId="0" applyNumberFormat="1" applyFont="1" applyFill="1" applyBorder="1" applyAlignment="1">
      <alignment horizontal="right"/>
    </xf>
    <xf numFmtId="164" fontId="2" fillId="3" borderId="5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/>
    </xf>
    <xf numFmtId="164" fontId="2" fillId="3" borderId="4" xfId="0" applyNumberFormat="1" applyFont="1" applyFill="1" applyBorder="1" applyAlignment="1">
      <alignment horizontal="right"/>
    </xf>
    <xf numFmtId="0" fontId="4" fillId="3" borderId="4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8" fillId="0" borderId="0" xfId="0" applyFont="1" applyAlignment="1">
      <alignment horizontal="right"/>
    </xf>
    <xf numFmtId="0" fontId="1" fillId="3" borderId="7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0" fillId="0" borderId="0" xfId="0" applyFont="1"/>
    <xf numFmtId="165" fontId="2" fillId="0" borderId="0" xfId="1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43" fontId="0" fillId="0" borderId="0" xfId="1" applyFont="1"/>
    <xf numFmtId="0" fontId="2" fillId="0" borderId="0" xfId="0" applyFont="1"/>
    <xf numFmtId="0" fontId="8" fillId="0" borderId="0" xfId="0" applyFont="1"/>
    <xf numFmtId="0" fontId="0" fillId="4" borderId="0" xfId="0" applyFill="1" applyAlignment="1">
      <alignment horizontal="right"/>
    </xf>
    <xf numFmtId="164" fontId="1" fillId="0" borderId="0" xfId="0" applyNumberFormat="1" applyFont="1" applyAlignment="1">
      <alignment horizontal="right"/>
    </xf>
    <xf numFmtId="0" fontId="3" fillId="4" borderId="0" xfId="0" applyFont="1" applyFill="1"/>
    <xf numFmtId="0" fontId="5" fillId="2" borderId="0" xfId="0" applyFont="1" applyFill="1" applyAlignment="1">
      <alignment horizontal="right"/>
    </xf>
    <xf numFmtId="2" fontId="8" fillId="0" borderId="0" xfId="0" applyNumberFormat="1" applyFont="1" applyAlignment="1">
      <alignment horizontal="right"/>
    </xf>
    <xf numFmtId="2" fontId="9" fillId="2" borderId="0" xfId="0" applyNumberFormat="1" applyFont="1" applyFill="1" applyAlignment="1">
      <alignment horizontal="right"/>
    </xf>
    <xf numFmtId="43" fontId="12" fillId="0" borderId="0" xfId="3" applyNumberFormat="1"/>
    <xf numFmtId="166" fontId="4" fillId="2" borderId="0" xfId="2" applyNumberFormat="1" applyFont="1" applyFill="1" applyBorder="1" applyAlignment="1">
      <alignment horizontal="right"/>
    </xf>
    <xf numFmtId="167" fontId="8" fillId="0" borderId="0" xfId="0" applyNumberFormat="1" applyFont="1" applyAlignment="1">
      <alignment horizontal="right"/>
    </xf>
    <xf numFmtId="167" fontId="9" fillId="2" borderId="0" xfId="0" applyNumberFormat="1" applyFont="1" applyFill="1" applyAlignment="1">
      <alignment horizontal="right"/>
    </xf>
    <xf numFmtId="164" fontId="8" fillId="3" borderId="4" xfId="0" applyNumberFormat="1" applyFont="1" applyFill="1" applyBorder="1" applyAlignment="1">
      <alignment horizontal="right"/>
    </xf>
    <xf numFmtId="164" fontId="8" fillId="3" borderId="5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4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4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eriscope.com/products/Function_Bond__Rolldown.html" TargetMode="External"/><Relationship Id="rId1" Type="http://schemas.openxmlformats.org/officeDocument/2006/relationships/hyperlink" Target="https://www.deriscope.com/products/Function_Bond__Carry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6E040-6E2D-4F42-94E2-B1C59191BF0C}">
  <dimension ref="A1:A4"/>
  <sheetViews>
    <sheetView tabSelected="1" workbookViewId="0">
      <selection activeCell="A5" sqref="A5"/>
    </sheetView>
  </sheetViews>
  <sheetFormatPr defaultRowHeight="15" x14ac:dyDescent="0.25"/>
  <cols>
    <col min="1" max="1" width="20.28515625" bestFit="1" customWidth="1"/>
  </cols>
  <sheetData>
    <row r="1" spans="1:1" x14ac:dyDescent="0.25">
      <c r="A1" s="43" t="s">
        <v>175</v>
      </c>
    </row>
    <row r="2" spans="1:1" x14ac:dyDescent="0.25">
      <c r="A2" s="57" t="s">
        <v>177</v>
      </c>
    </row>
    <row r="3" spans="1:1" x14ac:dyDescent="0.25">
      <c r="A3" t="s">
        <v>176</v>
      </c>
    </row>
    <row r="4" spans="1:1" x14ac:dyDescent="0.25">
      <c r="A4" s="57" t="s">
        <v>178</v>
      </c>
    </row>
  </sheetData>
  <hyperlinks>
    <hyperlink ref="A2" r:id="rId1" xr:uid="{080AF2CF-3E3A-4DA0-9A39-C7B7541CE870}"/>
    <hyperlink ref="A4" r:id="rId2" xr:uid="{C4D05D30-C3E1-4587-A581-BAD385AC9F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7E894-313D-4BD6-8659-DF55F62AB52A}">
  <dimension ref="A1:E59"/>
  <sheetViews>
    <sheetView workbookViewId="0">
      <selection activeCell="G4" sqref="G4"/>
    </sheetView>
  </sheetViews>
  <sheetFormatPr defaultRowHeight="15" x14ac:dyDescent="0.25"/>
  <cols>
    <col min="1" max="1" width="3.42578125" customWidth="1"/>
    <col min="2" max="2" width="3.5703125" customWidth="1"/>
    <col min="3" max="3" width="20.140625" bestFit="1" customWidth="1"/>
    <col min="4" max="4" width="19.140625" bestFit="1" customWidth="1"/>
    <col min="5" max="5" width="3" customWidth="1"/>
  </cols>
  <sheetData>
    <row r="1" spans="1:5" ht="15.75" thickBot="1" x14ac:dyDescent="0.3"/>
    <row r="2" spans="1:5" ht="15.75" thickTop="1" x14ac:dyDescent="0.25">
      <c r="B2" s="11"/>
      <c r="C2" s="12"/>
      <c r="D2" s="12"/>
      <c r="E2" s="13"/>
    </row>
    <row r="3" spans="1:5" x14ac:dyDescent="0.25">
      <c r="B3" s="17"/>
      <c r="C3" s="64" t="s">
        <v>182</v>
      </c>
      <c r="D3" s="65"/>
      <c r="E3" s="18"/>
    </row>
    <row r="4" spans="1:5" x14ac:dyDescent="0.25">
      <c r="A4" s="2"/>
      <c r="B4" s="17"/>
      <c r="C4" s="68" t="str" cm="1">
        <f t="array" ref="C4">_xll.ds(C5:D13)</f>
        <v>&amp;DiscCrv_C4:52.1</v>
      </c>
      <c r="D4" s="20"/>
      <c r="E4" s="18"/>
    </row>
    <row r="5" spans="1:5" x14ac:dyDescent="0.25">
      <c r="A5" s="2"/>
      <c r="B5" s="17"/>
      <c r="C5" s="1" t="s">
        <v>0</v>
      </c>
      <c r="D5" s="2" t="s">
        <v>42</v>
      </c>
      <c r="E5" s="18"/>
    </row>
    <row r="6" spans="1:5" x14ac:dyDescent="0.25">
      <c r="B6" s="17"/>
      <c r="C6" s="1" t="s">
        <v>2</v>
      </c>
      <c r="D6" s="2" t="s">
        <v>3</v>
      </c>
      <c r="E6" s="18"/>
    </row>
    <row r="7" spans="1:5" x14ac:dyDescent="0.25">
      <c r="B7" s="17"/>
      <c r="C7" s="1" t="s">
        <v>75</v>
      </c>
      <c r="D7" s="2" t="s">
        <v>183</v>
      </c>
      <c r="E7" s="18"/>
    </row>
    <row r="8" spans="1:5" x14ac:dyDescent="0.25">
      <c r="B8" s="17"/>
      <c r="C8" s="1" t="s">
        <v>165</v>
      </c>
      <c r="D8" s="6">
        <f>CarryRoll!$D$4</f>
        <v>44533</v>
      </c>
      <c r="E8" s="18"/>
    </row>
    <row r="9" spans="1:5" x14ac:dyDescent="0.25">
      <c r="B9" s="17"/>
      <c r="C9" s="1" t="s">
        <v>4</v>
      </c>
      <c r="D9" s="2" t="s">
        <v>184</v>
      </c>
      <c r="E9" s="18"/>
    </row>
    <row r="10" spans="1:5" x14ac:dyDescent="0.25">
      <c r="B10" s="17"/>
      <c r="C10" s="1" t="s">
        <v>43</v>
      </c>
      <c r="D10" s="2" t="s">
        <v>44</v>
      </c>
      <c r="E10" s="18"/>
    </row>
    <row r="11" spans="1:5" x14ac:dyDescent="0.25">
      <c r="B11" s="17"/>
      <c r="C11" s="1" t="s">
        <v>46</v>
      </c>
      <c r="D11" s="4" t="str">
        <f>$C$15</f>
        <v>&amp;YldCrvDep_C15:52.1</v>
      </c>
      <c r="E11" s="18"/>
    </row>
    <row r="12" spans="1:5" x14ac:dyDescent="0.25">
      <c r="B12" s="17"/>
      <c r="C12" s="1" t="s">
        <v>47</v>
      </c>
      <c r="D12" s="2" t="s">
        <v>48</v>
      </c>
      <c r="E12" s="18"/>
    </row>
    <row r="13" spans="1:5" x14ac:dyDescent="0.25">
      <c r="B13" s="17"/>
      <c r="C13" s="1" t="s">
        <v>49</v>
      </c>
      <c r="D13" s="2" t="s">
        <v>50</v>
      </c>
      <c r="E13" s="18"/>
    </row>
    <row r="14" spans="1:5" x14ac:dyDescent="0.25">
      <c r="B14" s="17"/>
      <c r="C14" s="20"/>
      <c r="D14" s="20"/>
      <c r="E14" s="18"/>
    </row>
    <row r="15" spans="1:5" x14ac:dyDescent="0.25">
      <c r="B15" s="17"/>
      <c r="C15" s="68" t="str" cm="1">
        <f t="array" ref="C15">_xll.ds(C16:D17,C19,C20:D36)</f>
        <v>&amp;YldCrvDep_C15:52.1</v>
      </c>
      <c r="D15" s="20"/>
      <c r="E15" s="18"/>
    </row>
    <row r="16" spans="1:5" x14ac:dyDescent="0.25">
      <c r="B16" s="17"/>
      <c r="C16" s="1" t="s">
        <v>0</v>
      </c>
      <c r="D16" s="2" t="s">
        <v>51</v>
      </c>
      <c r="E16" s="18"/>
    </row>
    <row r="17" spans="2:5" x14ac:dyDescent="0.25">
      <c r="B17" s="17"/>
      <c r="C17" s="1" t="s">
        <v>2</v>
      </c>
      <c r="D17" s="2" t="s">
        <v>12</v>
      </c>
      <c r="E17" s="18"/>
    </row>
    <row r="18" spans="2:5" x14ac:dyDescent="0.25">
      <c r="B18" s="17"/>
      <c r="C18" s="20"/>
      <c r="D18" s="20"/>
      <c r="E18" s="18"/>
    </row>
    <row r="19" spans="2:5" x14ac:dyDescent="0.25">
      <c r="B19" s="17"/>
      <c r="C19" s="1" t="s">
        <v>52</v>
      </c>
      <c r="D19" s="20"/>
      <c r="E19" s="18"/>
    </row>
    <row r="20" spans="2:5" x14ac:dyDescent="0.25">
      <c r="B20" s="17"/>
      <c r="C20" s="2" t="s">
        <v>53</v>
      </c>
      <c r="D20" s="2" t="s">
        <v>54</v>
      </c>
      <c r="E20" s="18"/>
    </row>
    <row r="21" spans="2:5" x14ac:dyDescent="0.25">
      <c r="B21" s="61"/>
      <c r="C21" s="2" t="s">
        <v>55</v>
      </c>
      <c r="D21" s="2">
        <v>0.04</v>
      </c>
      <c r="E21" s="62"/>
    </row>
    <row r="22" spans="2:5" x14ac:dyDescent="0.25">
      <c r="B22" s="17"/>
      <c r="C22" s="2" t="s">
        <v>56</v>
      </c>
      <c r="D22" s="2">
        <v>4.1000000000000002E-2</v>
      </c>
      <c r="E22" s="18"/>
    </row>
    <row r="23" spans="2:5" x14ac:dyDescent="0.25">
      <c r="B23" s="17"/>
      <c r="C23" s="2" t="s">
        <v>57</v>
      </c>
      <c r="D23" s="2">
        <v>4.2000000000000003E-2</v>
      </c>
      <c r="E23" s="18"/>
    </row>
    <row r="24" spans="2:5" x14ac:dyDescent="0.25">
      <c r="B24" s="17"/>
      <c r="C24" s="2" t="s">
        <v>185</v>
      </c>
      <c r="D24" s="2">
        <v>4.2999999999999997E-2</v>
      </c>
      <c r="E24" s="18"/>
    </row>
    <row r="25" spans="2:5" x14ac:dyDescent="0.25">
      <c r="B25" s="17"/>
      <c r="C25" s="2" t="s">
        <v>186</v>
      </c>
      <c r="D25" s="2">
        <v>4.3999999999999997E-2</v>
      </c>
      <c r="E25" s="18"/>
    </row>
    <row r="26" spans="2:5" x14ac:dyDescent="0.25">
      <c r="B26" s="17"/>
      <c r="C26" s="2" t="s">
        <v>58</v>
      </c>
      <c r="D26" s="2">
        <v>4.4999999999999998E-2</v>
      </c>
      <c r="E26" s="18"/>
    </row>
    <row r="27" spans="2:5" x14ac:dyDescent="0.25">
      <c r="B27" s="17"/>
      <c r="C27" s="2" t="s">
        <v>187</v>
      </c>
      <c r="D27" s="2">
        <v>4.5999999999999999E-2</v>
      </c>
      <c r="E27" s="18"/>
    </row>
    <row r="28" spans="2:5" x14ac:dyDescent="0.25">
      <c r="B28" s="17"/>
      <c r="C28" s="2" t="s">
        <v>188</v>
      </c>
      <c r="D28" s="2">
        <v>4.7E-2</v>
      </c>
      <c r="E28" s="18"/>
    </row>
    <row r="29" spans="2:5" x14ac:dyDescent="0.25">
      <c r="B29" s="17"/>
      <c r="C29" s="2" t="s">
        <v>189</v>
      </c>
      <c r="D29" s="2">
        <v>4.8000000000000001E-2</v>
      </c>
      <c r="E29" s="18"/>
    </row>
    <row r="30" spans="2:5" x14ac:dyDescent="0.25">
      <c r="B30" s="17"/>
      <c r="C30" s="2" t="s">
        <v>190</v>
      </c>
      <c r="D30" s="2">
        <v>4.9000000000000002E-2</v>
      </c>
      <c r="E30" s="18"/>
    </row>
    <row r="31" spans="2:5" x14ac:dyDescent="0.25">
      <c r="B31" s="17"/>
      <c r="C31" s="2" t="s">
        <v>191</v>
      </c>
      <c r="D31" s="2">
        <v>0.05</v>
      </c>
      <c r="E31" s="18"/>
    </row>
    <row r="32" spans="2:5" x14ac:dyDescent="0.25">
      <c r="B32" s="17"/>
      <c r="C32" s="2" t="s">
        <v>192</v>
      </c>
      <c r="D32" s="2">
        <v>5.0999999999999997E-2</v>
      </c>
      <c r="E32" s="18"/>
    </row>
    <row r="33" spans="2:5" x14ac:dyDescent="0.25">
      <c r="B33" s="17"/>
      <c r="C33" s="2" t="s">
        <v>59</v>
      </c>
      <c r="D33" s="2">
        <v>0.06</v>
      </c>
      <c r="E33" s="18"/>
    </row>
    <row r="34" spans="2:5" x14ac:dyDescent="0.25">
      <c r="B34" s="17"/>
      <c r="C34" s="2" t="s">
        <v>60</v>
      </c>
      <c r="D34" s="2">
        <v>7.0000000000000007E-2</v>
      </c>
      <c r="E34" s="18"/>
    </row>
    <row r="35" spans="2:5" x14ac:dyDescent="0.25">
      <c r="B35" s="17"/>
      <c r="C35" s="2" t="s">
        <v>61</v>
      </c>
      <c r="D35" s="2">
        <v>0.08</v>
      </c>
      <c r="E35" s="18"/>
    </row>
    <row r="36" spans="2:5" x14ac:dyDescent="0.25">
      <c r="B36" s="17"/>
      <c r="C36" s="2" t="s">
        <v>62</v>
      </c>
      <c r="D36" s="2">
        <v>0.09</v>
      </c>
      <c r="E36" s="18"/>
    </row>
    <row r="37" spans="2:5" ht="15.75" thickBot="1" x14ac:dyDescent="0.3">
      <c r="B37" s="14"/>
      <c r="C37" s="15"/>
      <c r="D37" s="15"/>
      <c r="E37" s="16"/>
    </row>
    <row r="38" spans="2:5" ht="15.75" thickTop="1" x14ac:dyDescent="0.25"/>
    <row r="56" spans="3:3" x14ac:dyDescent="0.25">
      <c r="C56" s="2"/>
    </row>
    <row r="57" spans="3:3" x14ac:dyDescent="0.25">
      <c r="C57" s="2"/>
    </row>
    <row r="58" spans="3:3" x14ac:dyDescent="0.25">
      <c r="C58" s="2"/>
    </row>
    <row r="59" spans="3:3" x14ac:dyDescent="0.25">
      <c r="C59" s="2"/>
    </row>
  </sheetData>
  <mergeCells count="1">
    <mergeCell ref="C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C58A4-827E-467D-B3FD-F035194C98F8}">
  <dimension ref="B1:BP70"/>
  <sheetViews>
    <sheetView workbookViewId="0">
      <selection activeCell="K34" sqref="K34"/>
    </sheetView>
  </sheetViews>
  <sheetFormatPr defaultRowHeight="15" x14ac:dyDescent="0.25"/>
  <cols>
    <col min="1" max="2" width="3.42578125" customWidth="1"/>
    <col min="3" max="3" width="18.140625" bestFit="1" customWidth="1"/>
    <col min="4" max="4" width="15.5703125" customWidth="1"/>
    <col min="5" max="5" width="2.85546875" customWidth="1"/>
    <col min="6" max="6" width="3.42578125" customWidth="1"/>
    <col min="7" max="7" width="3.5703125" customWidth="1"/>
    <col min="8" max="8" width="18.7109375" bestFit="1" customWidth="1"/>
    <col min="9" max="9" width="18.140625" bestFit="1" customWidth="1"/>
    <col min="10" max="10" width="3" customWidth="1"/>
    <col min="11" max="12" width="2.85546875" customWidth="1"/>
    <col min="13" max="13" width="15.28515625" bestFit="1" customWidth="1"/>
    <col min="14" max="14" width="13.42578125" customWidth="1"/>
    <col min="15" max="17" width="2.85546875" customWidth="1"/>
    <col min="18" max="19" width="13.140625" customWidth="1"/>
    <col min="20" max="20" width="12.42578125" customWidth="1"/>
    <col min="21" max="21" width="13.7109375" bestFit="1" customWidth="1"/>
    <col min="22" max="23" width="3.42578125" customWidth="1"/>
    <col min="24" max="24" width="3.28515625" customWidth="1"/>
    <col min="25" max="25" width="20.42578125" customWidth="1"/>
    <col min="26" max="26" width="21" customWidth="1"/>
    <col min="27" max="27" width="3.140625" customWidth="1"/>
    <col min="28" max="28" width="3.28515625" customWidth="1"/>
    <col min="29" max="29" width="3.140625" customWidth="1"/>
    <col min="30" max="30" width="24.5703125" customWidth="1"/>
    <col min="31" max="31" width="20.42578125" customWidth="1"/>
    <col min="32" max="32" width="2.85546875" customWidth="1"/>
    <col min="33" max="34" width="3" customWidth="1"/>
    <col min="35" max="35" width="19" customWidth="1"/>
    <col min="36" max="36" width="20.42578125" customWidth="1"/>
    <col min="37" max="37" width="3" customWidth="1"/>
    <col min="38" max="38" width="2.85546875" customWidth="1"/>
    <col min="39" max="39" width="2.7109375" customWidth="1"/>
    <col min="40" max="41" width="20.42578125" bestFit="1" customWidth="1"/>
    <col min="42" max="42" width="2.85546875" customWidth="1"/>
    <col min="43" max="44" width="3" customWidth="1"/>
    <col min="45" max="45" width="18" customWidth="1"/>
    <col min="46" max="46" width="17.28515625" bestFit="1" customWidth="1"/>
    <col min="47" max="47" width="2.5703125" customWidth="1"/>
    <col min="48" max="48" width="3" customWidth="1"/>
    <col min="49" max="49" width="2.7109375" customWidth="1"/>
    <col min="50" max="51" width="20.42578125" bestFit="1" customWidth="1"/>
    <col min="52" max="52" width="3" customWidth="1"/>
    <col min="53" max="53" width="3.42578125" customWidth="1"/>
    <col min="54" max="54" width="2.7109375" customWidth="1"/>
    <col min="55" max="56" width="20.42578125" bestFit="1" customWidth="1"/>
    <col min="57" max="57" width="3" customWidth="1"/>
    <col min="58" max="58" width="3.42578125" customWidth="1"/>
    <col min="59" max="59" width="3" customWidth="1"/>
    <col min="60" max="61" width="22" bestFit="1" customWidth="1"/>
    <col min="62" max="62" width="3.5703125" customWidth="1"/>
    <col min="63" max="64" width="3.140625" customWidth="1"/>
    <col min="65" max="65" width="17.42578125" bestFit="1" customWidth="1"/>
    <col min="66" max="66" width="17.5703125" customWidth="1"/>
    <col min="67" max="67" width="3.140625" customWidth="1"/>
    <col min="68" max="68" width="12" bestFit="1" customWidth="1"/>
    <col min="69" max="69" width="16.7109375" bestFit="1" customWidth="1"/>
    <col min="70" max="70" width="16.140625" bestFit="1" customWidth="1"/>
  </cols>
  <sheetData>
    <row r="1" spans="2:68" ht="15.75" thickBot="1" x14ac:dyDescent="0.3">
      <c r="D1" s="48"/>
    </row>
    <row r="2" spans="2:68" ht="15.75" thickTop="1" x14ac:dyDescent="0.25">
      <c r="B2" s="11"/>
      <c r="C2" s="12"/>
      <c r="D2" s="12"/>
      <c r="E2" s="13"/>
      <c r="G2" s="11"/>
      <c r="H2" s="12"/>
      <c r="I2" s="12"/>
      <c r="J2" s="13"/>
      <c r="L2" s="11"/>
      <c r="M2" s="12"/>
      <c r="N2" s="12"/>
      <c r="O2" s="13"/>
      <c r="Q2" s="11"/>
      <c r="R2" s="12"/>
      <c r="S2" s="12"/>
      <c r="T2" s="12"/>
      <c r="U2" s="12"/>
      <c r="V2" s="13"/>
      <c r="X2" s="34"/>
      <c r="Y2" s="29"/>
      <c r="Z2" s="29"/>
      <c r="AA2" s="13"/>
      <c r="AC2" s="11"/>
      <c r="AD2" s="12"/>
      <c r="AE2" s="12"/>
      <c r="AF2" s="13"/>
      <c r="AH2" s="11"/>
      <c r="AI2" s="12"/>
      <c r="AJ2" s="12"/>
      <c r="AK2" s="13"/>
      <c r="AM2" s="11"/>
      <c r="AN2" s="12"/>
      <c r="AO2" s="12"/>
      <c r="AP2" s="13"/>
      <c r="AR2" s="11"/>
      <c r="AS2" s="12"/>
      <c r="AT2" s="12"/>
      <c r="AU2" s="13"/>
      <c r="AW2" s="11"/>
      <c r="AX2" s="29"/>
      <c r="AY2" s="29"/>
      <c r="AZ2" s="30"/>
      <c r="BA2" s="3"/>
      <c r="BB2" s="11"/>
      <c r="BC2" s="29"/>
      <c r="BD2" s="29"/>
      <c r="BE2" s="30"/>
      <c r="BF2" s="3"/>
      <c r="BG2" s="34"/>
      <c r="BH2" s="29"/>
      <c r="BI2" s="29"/>
      <c r="BJ2" s="13"/>
      <c r="BL2" s="11"/>
      <c r="BM2" s="12"/>
      <c r="BN2" s="12"/>
      <c r="BO2" s="13"/>
    </row>
    <row r="3" spans="2:68" x14ac:dyDescent="0.25">
      <c r="B3" s="17"/>
      <c r="C3" s="64" t="s">
        <v>154</v>
      </c>
      <c r="D3" s="65"/>
      <c r="E3" s="18"/>
      <c r="G3" s="17"/>
      <c r="H3" s="64" t="s">
        <v>133</v>
      </c>
      <c r="I3" s="65"/>
      <c r="J3" s="18"/>
      <c r="L3" s="17"/>
      <c r="M3" s="64" t="s">
        <v>163</v>
      </c>
      <c r="N3" s="65"/>
      <c r="O3" s="18"/>
      <c r="Q3" s="17"/>
      <c r="R3" s="64" t="s">
        <v>141</v>
      </c>
      <c r="S3" s="65"/>
      <c r="T3" s="65"/>
      <c r="U3" s="65"/>
      <c r="V3" s="18"/>
      <c r="X3" s="36"/>
      <c r="Y3" s="64" t="s">
        <v>149</v>
      </c>
      <c r="Z3" s="65"/>
      <c r="AA3" s="18"/>
      <c r="AC3" s="17"/>
      <c r="AD3" s="64" t="s">
        <v>180</v>
      </c>
      <c r="AE3" s="65"/>
      <c r="AF3" s="18"/>
      <c r="AH3" s="17"/>
      <c r="AI3" s="64" t="s">
        <v>88</v>
      </c>
      <c r="AJ3" s="65"/>
      <c r="AK3" s="18"/>
      <c r="AM3" s="17"/>
      <c r="AN3" s="64" t="s">
        <v>174</v>
      </c>
      <c r="AO3" s="65"/>
      <c r="AP3" s="18"/>
      <c r="AR3" s="17"/>
      <c r="AS3" s="64" t="s">
        <v>89</v>
      </c>
      <c r="AT3" s="65"/>
      <c r="AU3" s="18"/>
      <c r="AW3" s="17"/>
      <c r="AX3" s="64" t="s">
        <v>179</v>
      </c>
      <c r="AY3" s="65"/>
      <c r="AZ3" s="33"/>
      <c r="BA3" s="3"/>
      <c r="BB3" s="17"/>
      <c r="BC3" s="64" t="s">
        <v>170</v>
      </c>
      <c r="BD3" s="65"/>
      <c r="BE3" s="33"/>
      <c r="BF3" s="3"/>
      <c r="BG3" s="36"/>
      <c r="BH3" s="64" t="s">
        <v>181</v>
      </c>
      <c r="BI3" s="65"/>
      <c r="BJ3" s="18"/>
      <c r="BL3" s="17"/>
      <c r="BM3" s="66" t="s">
        <v>98</v>
      </c>
      <c r="BN3" s="67"/>
      <c r="BO3" s="18"/>
    </row>
    <row r="4" spans="2:68" ht="15.75" thickBot="1" x14ac:dyDescent="0.3">
      <c r="B4" s="17"/>
      <c r="C4" t="s">
        <v>84</v>
      </c>
      <c r="D4" s="3">
        <v>44533</v>
      </c>
      <c r="E4" s="18"/>
      <c r="F4" s="2"/>
      <c r="G4" s="24"/>
      <c r="H4" s="27" t="str" cm="1">
        <f t="array" ref="H4">_xll.ds(H5:I11)</f>
        <v>&amp;Coupons_H4:50.1</v>
      </c>
      <c r="I4" s="20"/>
      <c r="J4" s="19"/>
      <c r="K4" s="2"/>
      <c r="L4" s="24"/>
      <c r="M4" s="51" t="s">
        <v>164</v>
      </c>
      <c r="N4" s="53">
        <f>MATCH($D$5,_xlfn.ANCHORARRAY(M5))</f>
        <v>3</v>
      </c>
      <c r="O4" s="19"/>
      <c r="P4" s="2"/>
      <c r="Q4" s="24"/>
      <c r="R4" s="20"/>
      <c r="S4" s="20"/>
      <c r="T4" s="43" t="s">
        <v>140</v>
      </c>
      <c r="U4" s="40">
        <f>SUM(_xlfn.ANCHORARRAY(U6))</f>
        <v>20.019245637080072</v>
      </c>
      <c r="V4" s="19"/>
      <c r="W4" s="2"/>
      <c r="X4" s="35"/>
      <c r="Y4" s="15"/>
      <c r="Z4" s="15"/>
      <c r="AA4" s="16"/>
      <c r="AB4" s="2"/>
      <c r="AC4" s="17"/>
      <c r="AD4" s="43" t="s">
        <v>171</v>
      </c>
      <c r="AE4" s="54" t="b">
        <f>AE5=AE6</f>
        <v>1</v>
      </c>
      <c r="AF4" s="18"/>
      <c r="AG4" s="2"/>
      <c r="AH4" s="24"/>
      <c r="AI4" s="58" cm="1">
        <f t="array" ref="AI4">_xll.ds(AI5:AJ8)</f>
        <v>3.9999087810516365E-2</v>
      </c>
      <c r="AJ4" s="20"/>
      <c r="AK4" s="18"/>
      <c r="AM4" s="17"/>
      <c r="AN4" s="43" t="s">
        <v>171</v>
      </c>
      <c r="AO4" s="54" t="b">
        <f>AO5=AO6</f>
        <v>1</v>
      </c>
      <c r="AP4" s="18"/>
      <c r="AR4" s="17"/>
      <c r="AS4" s="27" cm="1">
        <f t="array" ref="AS4">_xll.ds(AS5:AT7)</f>
        <v>7.4029937314987193E-2</v>
      </c>
      <c r="AT4" s="20"/>
      <c r="AU4" s="18"/>
      <c r="AW4" s="17"/>
      <c r="AX4" s="43" t="s">
        <v>171</v>
      </c>
      <c r="AY4" s="54" t="b">
        <f>AY5=AY6</f>
        <v>1</v>
      </c>
      <c r="AZ4" s="33"/>
      <c r="BA4" s="3"/>
      <c r="BB4" s="17"/>
      <c r="BC4" s="43" t="s">
        <v>171</v>
      </c>
      <c r="BD4" s="54" t="b">
        <f>BD5=BD6</f>
        <v>1</v>
      </c>
      <c r="BE4" s="33"/>
      <c r="BF4" s="3"/>
      <c r="BG4" s="35"/>
      <c r="BH4" s="15"/>
      <c r="BI4" s="15"/>
      <c r="BJ4" s="16"/>
      <c r="BL4" s="17"/>
      <c r="BM4" s="5" t="str" cm="1">
        <f t="array" ref="BM4">_xll.ds(BM5:BN8)</f>
        <v>&amp;CRV3_BM4:50.1</v>
      </c>
      <c r="BN4" s="20"/>
      <c r="BO4" s="18"/>
      <c r="BP4" s="5"/>
    </row>
    <row r="5" spans="2:68" ht="16.5" thickTop="1" thickBot="1" x14ac:dyDescent="0.3">
      <c r="B5" s="17"/>
      <c r="C5" s="9" t="s">
        <v>77</v>
      </c>
      <c r="D5" s="3">
        <v>44805</v>
      </c>
      <c r="E5" s="19"/>
      <c r="F5" s="2"/>
      <c r="G5" s="24"/>
      <c r="H5" s="1" t="s">
        <v>22</v>
      </c>
      <c r="I5" s="4" t="str">
        <f>$H$21</f>
        <v>&amp;AllFlows_H21:50.1</v>
      </c>
      <c r="J5" s="19"/>
      <c r="K5" s="2"/>
      <c r="L5" s="24"/>
      <c r="M5" s="5" t="str" cm="1">
        <f t="array" ref="M5:M25">_xll.ds("ObjectTools::Show","Reference=",$H$21,"Key=","1,0,1,1")</f>
        <v>#PmtDate</v>
      </c>
      <c r="N5" s="5" t="str" cm="1">
        <f t="array" ref="N5:N25">_xll.ds("ObjectTools::Show","Reference=",$H$21,"Key=","1,0,2,2")</f>
        <v>#Amount</v>
      </c>
      <c r="O5" s="19"/>
      <c r="P5" s="2"/>
      <c r="Q5" s="24"/>
      <c r="R5" s="44" t="s">
        <v>136</v>
      </c>
      <c r="S5" s="44" t="s">
        <v>137</v>
      </c>
      <c r="T5" s="44" t="s">
        <v>138</v>
      </c>
      <c r="U5" s="44" t="s">
        <v>139</v>
      </c>
      <c r="V5" s="19"/>
      <c r="W5" s="2"/>
      <c r="AB5" s="2"/>
      <c r="AC5" s="17"/>
      <c r="AD5" s="43" t="s">
        <v>172</v>
      </c>
      <c r="AE5" s="59">
        <f>$Y$8</f>
        <v>97.79017811972227</v>
      </c>
      <c r="AF5" s="18"/>
      <c r="AG5" s="2"/>
      <c r="AH5" s="24"/>
      <c r="AI5" s="1" t="s">
        <v>22</v>
      </c>
      <c r="AJ5" s="4" t="str">
        <f>$C$26</f>
        <v>&amp;FxdBnd_C26:50.1</v>
      </c>
      <c r="AK5" s="18"/>
      <c r="AM5" s="17"/>
      <c r="AN5" s="43" t="s">
        <v>172</v>
      </c>
      <c r="AO5" s="55">
        <f>10000*(AI11-AI4)</f>
        <v>57.408585548400779</v>
      </c>
      <c r="AP5" s="18"/>
      <c r="AR5" s="17"/>
      <c r="AS5" s="1" t="s">
        <v>22</v>
      </c>
      <c r="AT5" s="4" t="str">
        <f>$C$26</f>
        <v>&amp;FxdBnd_C26:50.1</v>
      </c>
      <c r="AU5" s="18"/>
      <c r="AW5" s="17"/>
      <c r="AX5" s="43" t="s">
        <v>172</v>
      </c>
      <c r="AY5" s="55">
        <f>10000*($AS$4-$AS$10)</f>
        <v>34.177913665771612</v>
      </c>
      <c r="AZ5" s="33"/>
      <c r="BA5" s="3"/>
      <c r="BB5" s="17"/>
      <c r="BC5" s="43" t="s">
        <v>172</v>
      </c>
      <c r="BD5" s="55">
        <f>10000*($AS$4-$BH$8)</f>
        <v>34.20192813873291</v>
      </c>
      <c r="BE5" s="33"/>
      <c r="BF5" s="3"/>
      <c r="BL5" s="17"/>
      <c r="BM5" s="1" t="s">
        <v>22</v>
      </c>
      <c r="BN5" s="4" t="str">
        <f>$BM$13</f>
        <v>&amp;CRV2_BM13:50.1</v>
      </c>
      <c r="BO5" s="18"/>
      <c r="BP5" s="1"/>
    </row>
    <row r="6" spans="2:68" ht="15.75" thickTop="1" x14ac:dyDescent="0.25">
      <c r="B6" s="17"/>
      <c r="C6" s="64" t="s">
        <v>156</v>
      </c>
      <c r="D6" s="65"/>
      <c r="E6" s="19"/>
      <c r="G6" s="17"/>
      <c r="H6" s="1" t="s">
        <v>2</v>
      </c>
      <c r="I6" s="3" t="s">
        <v>121</v>
      </c>
      <c r="J6" s="18"/>
      <c r="L6" s="17"/>
      <c r="M6" s="10">
        <v>44623</v>
      </c>
      <c r="N6" s="5">
        <v>9.8630136986301853</v>
      </c>
      <c r="O6" s="18"/>
      <c r="Q6" s="17"/>
      <c r="R6" s="10" cm="1">
        <f t="array" ref="R6:R7">_xll.dsSubRange(_xlfn.ANCHORARRAY(M5),2,$N$4,1,1)</f>
        <v>44623</v>
      </c>
      <c r="S6" s="5" cm="1">
        <f t="array" ref="S6:S7">_xll.dsSubRange(_xlfn.ANCHORARRAY(N5),2,$N$4,1,1)</f>
        <v>9.8630136986301853</v>
      </c>
      <c r="T6" s="5" cm="1">
        <f t="array" ref="T6:T7">_xll.ds("Compound Factor",$Y$36,"Rate(%)=",$D$17,"Start=",_xlfn.ANCHORARRAY(R6),"End=",$D$5)</f>
        <v>1.004986301369863</v>
      </c>
      <c r="U6" s="40" cm="1">
        <f t="array" ref="U6:U7">IF($D$19,_xlfn.ANCHORARRAY(S6)*_xlfn.ANCHORARRAY(T6),_xlfn.ANCHORARRAY(S6))</f>
        <v>9.9121936573466431</v>
      </c>
      <c r="V6" s="18"/>
      <c r="X6" s="11"/>
      <c r="Y6" s="12"/>
      <c r="Z6" s="12"/>
      <c r="AA6" s="13"/>
      <c r="AC6" s="26"/>
      <c r="AD6" s="43" t="s">
        <v>173</v>
      </c>
      <c r="AE6" s="60" cm="1">
        <f t="array" ref="AE6">_xll.ds(AD7:AE14)</f>
        <v>97.79017811972227</v>
      </c>
      <c r="AF6" s="18"/>
      <c r="AH6" s="17"/>
      <c r="AI6" s="1" t="s">
        <v>2</v>
      </c>
      <c r="AJ6" s="2" t="s">
        <v>33</v>
      </c>
      <c r="AK6" s="18"/>
      <c r="AM6" s="26"/>
      <c r="AN6" s="43" t="s">
        <v>173</v>
      </c>
      <c r="AO6" s="56" cm="1">
        <f t="array" ref="AO6">_xll.ds(AN7:AO14)</f>
        <v>57.408585548400779</v>
      </c>
      <c r="AP6" s="18"/>
      <c r="AR6" s="17"/>
      <c r="AS6" s="1" t="s">
        <v>2</v>
      </c>
      <c r="AT6" s="2" t="s">
        <v>33</v>
      </c>
      <c r="AU6" s="18"/>
      <c r="AW6" s="17"/>
      <c r="AX6" s="43" t="s">
        <v>173</v>
      </c>
      <c r="AY6" s="56" cm="1">
        <f t="array" ref="AY6">_xll.ds(AX7:AY13)</f>
        <v>34.177913665771612</v>
      </c>
      <c r="AZ6" s="33"/>
      <c r="BA6" s="3"/>
      <c r="BB6" s="17"/>
      <c r="BC6" s="43" t="s">
        <v>173</v>
      </c>
      <c r="BD6" s="56" cm="1">
        <f t="array" ref="BD6">_xll.ds(BC7:BD13)</f>
        <v>34.20192813873291</v>
      </c>
      <c r="BE6" s="33"/>
      <c r="BF6" s="3"/>
      <c r="BG6" s="34"/>
      <c r="BH6" s="12"/>
      <c r="BI6" s="12"/>
      <c r="BJ6" s="13"/>
      <c r="BL6" s="17"/>
      <c r="BM6" s="1" t="s">
        <v>2</v>
      </c>
      <c r="BN6" s="2" t="s">
        <v>166</v>
      </c>
      <c r="BO6" s="18"/>
      <c r="BP6" s="1"/>
    </row>
    <row r="7" spans="2:68" x14ac:dyDescent="0.25">
      <c r="B7" s="17"/>
      <c r="C7" t="s">
        <v>152</v>
      </c>
      <c r="D7" s="3">
        <v>44533</v>
      </c>
      <c r="E7" s="19"/>
      <c r="G7" s="17"/>
      <c r="H7" s="1" t="s">
        <v>75</v>
      </c>
      <c r="I7" s="2" t="s">
        <v>132</v>
      </c>
      <c r="J7" s="18"/>
      <c r="L7" s="17"/>
      <c r="M7" s="10">
        <v>44715</v>
      </c>
      <c r="N7" s="5">
        <v>10.082191780821814</v>
      </c>
      <c r="O7" s="18"/>
      <c r="Q7" s="17"/>
      <c r="R7" s="47">
        <v>44715</v>
      </c>
      <c r="S7" s="5">
        <v>10.082191780821814</v>
      </c>
      <c r="T7" s="5">
        <v>1.0024657534246575</v>
      </c>
      <c r="U7" s="40">
        <v>10.107051979733429</v>
      </c>
      <c r="V7" s="18"/>
      <c r="X7" s="17"/>
      <c r="Y7" s="66" t="s">
        <v>148</v>
      </c>
      <c r="Z7" s="67"/>
      <c r="AA7" s="18"/>
      <c r="AC7" s="17"/>
      <c r="AD7" s="1" t="s">
        <v>22</v>
      </c>
      <c r="AE7" s="4" t="str">
        <f>$C$26</f>
        <v>&amp;FxdBnd_C26:50.1</v>
      </c>
      <c r="AF7" s="18"/>
      <c r="AH7" s="17"/>
      <c r="AI7" s="1" t="s">
        <v>25</v>
      </c>
      <c r="AJ7" s="7">
        <f>$D$16</f>
        <v>100</v>
      </c>
      <c r="AK7" s="25"/>
      <c r="AL7" s="6"/>
      <c r="AM7" s="17"/>
      <c r="AN7" s="1" t="s">
        <v>22</v>
      </c>
      <c r="AO7" s="4" t="str">
        <f>$C$26</f>
        <v>&amp;FxdBnd_C26:50.1</v>
      </c>
      <c r="AP7" s="18"/>
      <c r="AR7" s="17"/>
      <c r="AS7" s="1" t="s">
        <v>41</v>
      </c>
      <c r="AT7" s="4" t="str">
        <f>Curves!$C$4</f>
        <v>&amp;DiscCrv_C4:52.1</v>
      </c>
      <c r="AU7" s="18"/>
      <c r="AW7" s="17"/>
      <c r="AX7" s="1" t="s">
        <v>22</v>
      </c>
      <c r="AY7" s="4" t="str">
        <f>$C$26</f>
        <v>&amp;FxdBnd_C26:50.1</v>
      </c>
      <c r="AZ7" s="33"/>
      <c r="BA7" s="3"/>
      <c r="BB7" s="17"/>
      <c r="BC7" s="1" t="s">
        <v>22</v>
      </c>
      <c r="BD7" s="4" t="str">
        <f>$C$26</f>
        <v>&amp;FxdBnd_C26:50.1</v>
      </c>
      <c r="BE7" s="33"/>
      <c r="BF7" s="3"/>
      <c r="BG7" s="36"/>
      <c r="BH7" s="66" t="s">
        <v>102</v>
      </c>
      <c r="BI7" s="67"/>
      <c r="BJ7" s="18"/>
      <c r="BL7" s="17"/>
      <c r="BM7" s="1" t="s">
        <v>75</v>
      </c>
      <c r="BN7" s="2" t="s">
        <v>97</v>
      </c>
      <c r="BO7" s="18"/>
      <c r="BP7" s="1"/>
    </row>
    <row r="8" spans="2:68" x14ac:dyDescent="0.25">
      <c r="B8" s="17"/>
      <c r="C8" s="9" t="s">
        <v>157</v>
      </c>
      <c r="D8" s="2">
        <v>2</v>
      </c>
      <c r="E8" s="19"/>
      <c r="G8" s="17"/>
      <c r="H8" s="1" t="s">
        <v>122</v>
      </c>
      <c r="I8" s="2" t="s">
        <v>115</v>
      </c>
      <c r="J8" s="18"/>
      <c r="L8" s="17"/>
      <c r="M8" s="10">
        <v>44810</v>
      </c>
      <c r="N8" s="5">
        <v>10.41095890410948</v>
      </c>
      <c r="O8" s="18"/>
      <c r="Q8" s="17"/>
      <c r="R8" s="10"/>
      <c r="S8" s="40"/>
      <c r="T8" s="5"/>
      <c r="U8" s="40"/>
      <c r="V8" s="18"/>
      <c r="X8" s="17"/>
      <c r="Y8" s="27" cm="1">
        <f t="array" ref="Y8">_xll.ds(Y9:Z12)</f>
        <v>97.79017811972227</v>
      </c>
      <c r="Z8" s="20"/>
      <c r="AA8" s="18"/>
      <c r="AC8" s="17"/>
      <c r="AD8" s="1" t="s">
        <v>2</v>
      </c>
      <c r="AE8" s="2" t="s">
        <v>34</v>
      </c>
      <c r="AF8" s="18"/>
      <c r="AH8" s="17"/>
      <c r="AI8" s="1" t="s">
        <v>27</v>
      </c>
      <c r="AJ8" s="6">
        <f>$D$23</f>
        <v>44537</v>
      </c>
      <c r="AK8" s="18"/>
      <c r="AM8" s="17"/>
      <c r="AN8" s="1" t="s">
        <v>2</v>
      </c>
      <c r="AO8" s="2" t="s">
        <v>24</v>
      </c>
      <c r="AP8" s="19"/>
      <c r="AR8" s="17"/>
      <c r="AS8" s="20"/>
      <c r="AT8" s="20"/>
      <c r="AU8" s="18"/>
      <c r="AW8" s="17"/>
      <c r="AX8" s="1" t="s">
        <v>2</v>
      </c>
      <c r="AY8" s="2" t="s">
        <v>40</v>
      </c>
      <c r="AZ8" s="33"/>
      <c r="BA8" s="3"/>
      <c r="BB8" s="17"/>
      <c r="BC8" s="1" t="s">
        <v>2</v>
      </c>
      <c r="BD8" s="2" t="s">
        <v>40</v>
      </c>
      <c r="BE8" s="33"/>
      <c r="BF8" s="3"/>
      <c r="BG8" s="36"/>
      <c r="BH8" s="5" cm="1">
        <f t="array" ref="BH8">_xll.ds(BH9:BI12)</f>
        <v>7.0609744501113902E-2</v>
      </c>
      <c r="BI8" s="20"/>
      <c r="BJ8" s="18"/>
      <c r="BL8" s="17"/>
      <c r="BM8" s="52" t="s">
        <v>39</v>
      </c>
      <c r="BN8" s="6">
        <f>$D$5</f>
        <v>44805</v>
      </c>
      <c r="BO8" s="18"/>
    </row>
    <row r="9" spans="2:68" ht="15.75" thickBot="1" x14ac:dyDescent="0.3">
      <c r="B9" s="17"/>
      <c r="C9" t="s">
        <v>151</v>
      </c>
      <c r="D9" s="3">
        <v>46359</v>
      </c>
      <c r="E9" s="19"/>
      <c r="G9" s="17"/>
      <c r="H9" s="1" t="s">
        <v>123</v>
      </c>
      <c r="I9" s="2" t="b">
        <v>1</v>
      </c>
      <c r="J9" s="18"/>
      <c r="L9" s="17"/>
      <c r="M9" s="10">
        <v>44900</v>
      </c>
      <c r="N9" s="5">
        <v>9.8630136986301853</v>
      </c>
      <c r="O9" s="18"/>
      <c r="Q9" s="17"/>
      <c r="R9" s="10"/>
      <c r="S9" s="40"/>
      <c r="T9" s="5"/>
      <c r="U9" s="40"/>
      <c r="V9" s="18"/>
      <c r="X9" s="17"/>
      <c r="Y9" s="1" t="s">
        <v>22</v>
      </c>
      <c r="Z9" s="4" t="str">
        <f>$C$26</f>
        <v>&amp;FxdBnd_C26:50.1</v>
      </c>
      <c r="AA9" s="18"/>
      <c r="AC9" s="17"/>
      <c r="AD9" s="1" t="s">
        <v>25</v>
      </c>
      <c r="AE9" s="4">
        <f>$D$16</f>
        <v>100</v>
      </c>
      <c r="AF9" s="18"/>
      <c r="AH9" s="17"/>
      <c r="AI9" s="20"/>
      <c r="AJ9" s="20"/>
      <c r="AK9" s="18"/>
      <c r="AM9" s="17"/>
      <c r="AN9" s="1" t="s">
        <v>25</v>
      </c>
      <c r="AO9" s="4">
        <f>$D$16</f>
        <v>100</v>
      </c>
      <c r="AP9" s="18"/>
      <c r="AQ9" s="2"/>
      <c r="AR9" s="24"/>
      <c r="AS9" s="64" t="s">
        <v>91</v>
      </c>
      <c r="AT9" s="65"/>
      <c r="AU9" s="18"/>
      <c r="AW9" s="17"/>
      <c r="AX9" s="1" t="s">
        <v>39</v>
      </c>
      <c r="AY9" s="6">
        <f>$D$5</f>
        <v>44805</v>
      </c>
      <c r="AZ9" s="33"/>
      <c r="BA9" s="3"/>
      <c r="BB9" s="17"/>
      <c r="BC9" s="1" t="s">
        <v>39</v>
      </c>
      <c r="BD9" s="6">
        <f>$D$5</f>
        <v>44805</v>
      </c>
      <c r="BE9" s="33"/>
      <c r="BF9" s="3"/>
      <c r="BG9" s="36"/>
      <c r="BH9" s="1" t="s">
        <v>22</v>
      </c>
      <c r="BI9" s="4" t="str">
        <f>$BH$34</f>
        <v>&amp;ZeroSettled_BH34:50.1</v>
      </c>
      <c r="BJ9" s="18"/>
      <c r="BL9" s="14"/>
      <c r="BM9" s="15"/>
      <c r="BN9" s="15"/>
      <c r="BO9" s="16"/>
    </row>
    <row r="10" spans="2:68" ht="16.5" thickTop="1" thickBot="1" x14ac:dyDescent="0.3">
      <c r="B10" s="17"/>
      <c r="C10" t="s">
        <v>158</v>
      </c>
      <c r="D10" s="2">
        <v>4</v>
      </c>
      <c r="E10" s="19"/>
      <c r="G10" s="17"/>
      <c r="H10" s="1" t="s">
        <v>124</v>
      </c>
      <c r="I10" s="4" t="str">
        <f>$H$13</f>
        <v>&amp;IsWithin_H13:50.1</v>
      </c>
      <c r="J10" s="18"/>
      <c r="L10" s="17"/>
      <c r="M10" s="10">
        <v>44988</v>
      </c>
      <c r="N10" s="5">
        <v>9.6438356164383343</v>
      </c>
      <c r="O10" s="18"/>
      <c r="Q10" s="17"/>
      <c r="R10" s="10"/>
      <c r="S10" s="40"/>
      <c r="T10" s="5"/>
      <c r="U10" s="40"/>
      <c r="V10" s="18"/>
      <c r="X10" s="17"/>
      <c r="Y10" s="1" t="s">
        <v>2</v>
      </c>
      <c r="Z10" s="2" t="s">
        <v>71</v>
      </c>
      <c r="AA10" s="18"/>
      <c r="AC10" s="17"/>
      <c r="AD10" s="1" t="s">
        <v>39</v>
      </c>
      <c r="AE10" s="23">
        <f>$D$5</f>
        <v>44805</v>
      </c>
      <c r="AF10" s="18"/>
      <c r="AH10" s="17"/>
      <c r="AI10" s="64" t="s">
        <v>85</v>
      </c>
      <c r="AJ10" s="65"/>
      <c r="AK10" s="18"/>
      <c r="AM10" s="17"/>
      <c r="AN10" s="1" t="s">
        <v>39</v>
      </c>
      <c r="AO10" s="6">
        <f>$D$5</f>
        <v>44805</v>
      </c>
      <c r="AP10" s="18"/>
      <c r="AR10" s="17"/>
      <c r="AS10" s="27" cm="1">
        <f t="array" ref="AS10">_xll.ds(AS11:AT13)</f>
        <v>7.0612145948410032E-2</v>
      </c>
      <c r="AT10" s="20"/>
      <c r="AU10" s="18"/>
      <c r="AW10" s="17"/>
      <c r="AX10" s="1" t="s">
        <v>168</v>
      </c>
      <c r="AY10" s="2" t="s">
        <v>169</v>
      </c>
      <c r="AZ10" s="33"/>
      <c r="BA10" s="3"/>
      <c r="BB10" s="17"/>
      <c r="BC10" s="1" t="s">
        <v>168</v>
      </c>
      <c r="BD10" s="2" t="s">
        <v>193</v>
      </c>
      <c r="BE10" s="33"/>
      <c r="BF10" s="3"/>
      <c r="BG10" s="36"/>
      <c r="BH10" s="1" t="s">
        <v>2</v>
      </c>
      <c r="BI10" s="2" t="s">
        <v>33</v>
      </c>
      <c r="BJ10" s="18"/>
      <c r="BL10" s="4"/>
    </row>
    <row r="11" spans="2:68" ht="15.75" thickTop="1" x14ac:dyDescent="0.25">
      <c r="B11" s="17"/>
      <c r="C11" t="s">
        <v>153</v>
      </c>
      <c r="D11" s="2" t="s">
        <v>57</v>
      </c>
      <c r="E11" s="19"/>
      <c r="G11" s="17"/>
      <c r="H11" s="1" t="s">
        <v>125</v>
      </c>
      <c r="I11" s="2" t="b">
        <v>0</v>
      </c>
      <c r="J11" s="18"/>
      <c r="L11" s="17"/>
      <c r="M11" s="10">
        <v>45082</v>
      </c>
      <c r="N11" s="5">
        <v>10.301369863013665</v>
      </c>
      <c r="O11" s="18"/>
      <c r="Q11" s="17"/>
      <c r="R11" s="10"/>
      <c r="S11" s="40"/>
      <c r="T11" s="5"/>
      <c r="U11" s="40"/>
      <c r="V11" s="18"/>
      <c r="X11" s="17"/>
      <c r="Y11" s="1" t="s">
        <v>74</v>
      </c>
      <c r="Z11" s="4">
        <f>$Y$17</f>
        <v>98.776479489585284</v>
      </c>
      <c r="AA11" s="18"/>
      <c r="AC11" s="17"/>
      <c r="AD11" s="1" t="s">
        <v>37</v>
      </c>
      <c r="AE11" s="7">
        <f>$D$17</f>
        <v>1</v>
      </c>
      <c r="AF11" s="18"/>
      <c r="AH11" s="17"/>
      <c r="AI11" s="58" cm="1">
        <f t="array" ref="AI11">_xll.ds(AI12:AJ15)</f>
        <v>4.5739946365356443E-2</v>
      </c>
      <c r="AJ11" s="20"/>
      <c r="AK11" s="18"/>
      <c r="AM11" s="17"/>
      <c r="AN11" s="1" t="s">
        <v>37</v>
      </c>
      <c r="AO11" s="4">
        <f>$D$17</f>
        <v>1</v>
      </c>
      <c r="AP11" s="18"/>
      <c r="AR11" s="17"/>
      <c r="AS11" s="1" t="s">
        <v>22</v>
      </c>
      <c r="AT11" s="4" t="str">
        <f>$AS$16</f>
        <v>&amp;FxdBnd_AS16:50.1</v>
      </c>
      <c r="AU11" s="18"/>
      <c r="AW11" s="17"/>
      <c r="AX11" s="1" t="s">
        <v>41</v>
      </c>
      <c r="AY11" s="4" t="str">
        <f>Curves!$C$4</f>
        <v>&amp;DiscCrv_C4:52.1</v>
      </c>
      <c r="AZ11" s="33"/>
      <c r="BA11" s="3"/>
      <c r="BB11" s="17"/>
      <c r="BC11" s="1" t="s">
        <v>41</v>
      </c>
      <c r="BD11" s="4" t="str">
        <f>Curves!$C$4</f>
        <v>&amp;DiscCrv_C4:52.1</v>
      </c>
      <c r="BE11" s="33"/>
      <c r="BF11" s="3"/>
      <c r="BG11" s="36"/>
      <c r="BH11" s="1" t="s">
        <v>25</v>
      </c>
      <c r="BI11" s="4">
        <f>$BH$17</f>
        <v>88.827267200137371</v>
      </c>
      <c r="BJ11" s="18"/>
      <c r="BL11" s="39"/>
      <c r="BM11" s="12"/>
      <c r="BN11" s="12"/>
      <c r="BO11" s="13"/>
    </row>
    <row r="12" spans="2:68" x14ac:dyDescent="0.25">
      <c r="B12" s="17"/>
      <c r="C12" s="9" t="s">
        <v>161</v>
      </c>
      <c r="D12" s="2" t="s">
        <v>9</v>
      </c>
      <c r="E12" s="19"/>
      <c r="G12" s="17"/>
      <c r="H12" s="20"/>
      <c r="I12" s="20"/>
      <c r="J12" s="18"/>
      <c r="L12" s="17"/>
      <c r="M12" s="10">
        <v>45174</v>
      </c>
      <c r="N12" s="5">
        <v>10.082191780821814</v>
      </c>
      <c r="O12" s="18"/>
      <c r="Q12" s="17"/>
      <c r="R12" s="10"/>
      <c r="S12" s="40"/>
      <c r="T12" s="40"/>
      <c r="U12" s="40"/>
      <c r="V12" s="18"/>
      <c r="X12" s="17"/>
      <c r="Y12" s="1" t="s">
        <v>27</v>
      </c>
      <c r="Z12" s="6">
        <f>$D$5</f>
        <v>44805</v>
      </c>
      <c r="AA12" s="18"/>
      <c r="AC12" s="17"/>
      <c r="AD12" s="1" t="s">
        <v>26</v>
      </c>
      <c r="AE12" s="4" t="str">
        <f>$Y$36</f>
        <v>&amp;RepoConvs_Y36:50.1</v>
      </c>
      <c r="AF12" s="18"/>
      <c r="AH12" s="17"/>
      <c r="AI12" s="1" t="s">
        <v>22</v>
      </c>
      <c r="AJ12" s="4" t="str">
        <f>$C$26</f>
        <v>&amp;FxdBnd_C26:50.1</v>
      </c>
      <c r="AK12" s="18"/>
      <c r="AM12" s="17"/>
      <c r="AN12" s="1" t="s">
        <v>26</v>
      </c>
      <c r="AO12" s="4" t="str">
        <f>$Y$36</f>
        <v>&amp;RepoConvs_Y36:50.1</v>
      </c>
      <c r="AP12" s="18"/>
      <c r="AR12" s="17"/>
      <c r="AS12" s="1" t="s">
        <v>2</v>
      </c>
      <c r="AT12" s="2" t="s">
        <v>33</v>
      </c>
      <c r="AU12" s="18"/>
      <c r="AW12" s="17"/>
      <c r="AX12" s="1" t="s">
        <v>45</v>
      </c>
      <c r="AY12" s="4" t="str">
        <f>$AX$16</f>
        <v>&amp;YieldConvs_AX16:50.1</v>
      </c>
      <c r="AZ12" s="33"/>
      <c r="BA12" s="3"/>
      <c r="BB12" s="17"/>
      <c r="BC12" s="1" t="s">
        <v>45</v>
      </c>
      <c r="BD12" s="4" t="str">
        <f>$AX$16</f>
        <v>&amp;YieldConvs_AX16:50.1</v>
      </c>
      <c r="BE12" s="33"/>
      <c r="BF12" s="3"/>
      <c r="BG12" s="36"/>
      <c r="BH12" s="1" t="s">
        <v>27</v>
      </c>
      <c r="BI12" s="6">
        <f>$D$5</f>
        <v>44805</v>
      </c>
      <c r="BJ12" s="18"/>
      <c r="BK12" s="5"/>
      <c r="BL12" s="38"/>
      <c r="BM12" s="66" t="s">
        <v>95</v>
      </c>
      <c r="BN12" s="67"/>
      <c r="BO12" s="18"/>
    </row>
    <row r="13" spans="2:68" ht="15.75" thickBot="1" x14ac:dyDescent="0.3">
      <c r="B13" s="17"/>
      <c r="C13" s="9" t="s">
        <v>160</v>
      </c>
      <c r="D13" s="2" t="s">
        <v>114</v>
      </c>
      <c r="E13" s="19"/>
      <c r="G13" s="17"/>
      <c r="H13" s="5" t="str" cm="1">
        <f t="array" ref="H13">_xll.ds(H14:I19)</f>
        <v>&amp;IsWithin_H13:50.1</v>
      </c>
      <c r="I13" s="20"/>
      <c r="J13" s="18"/>
      <c r="L13" s="17"/>
      <c r="M13" s="10">
        <v>45264</v>
      </c>
      <c r="N13" s="5">
        <v>9.8630136986301853</v>
      </c>
      <c r="O13" s="18"/>
      <c r="Q13" s="17"/>
      <c r="R13" s="10"/>
      <c r="S13" s="40"/>
      <c r="T13" s="40"/>
      <c r="U13" s="40"/>
      <c r="V13" s="18"/>
      <c r="X13" s="14"/>
      <c r="Y13" s="15"/>
      <c r="Z13" s="15"/>
      <c r="AA13" s="16"/>
      <c r="AC13" s="17"/>
      <c r="AD13" s="1" t="s">
        <v>143</v>
      </c>
      <c r="AE13" s="4" t="b">
        <f>$D$19</f>
        <v>1</v>
      </c>
      <c r="AF13" s="18"/>
      <c r="AH13" s="17"/>
      <c r="AI13" s="1" t="s">
        <v>2</v>
      </c>
      <c r="AJ13" s="2" t="s">
        <v>33</v>
      </c>
      <c r="AK13" s="18"/>
      <c r="AM13" s="17"/>
      <c r="AN13" s="1" t="s">
        <v>35</v>
      </c>
      <c r="AO13" s="2" t="s">
        <v>36</v>
      </c>
      <c r="AP13" s="18"/>
      <c r="AR13" s="17"/>
      <c r="AS13" s="1" t="s">
        <v>41</v>
      </c>
      <c r="AT13" s="4" t="str">
        <f>Curves!$C$4</f>
        <v>&amp;DiscCrv_C4:52.1</v>
      </c>
      <c r="AU13" s="18"/>
      <c r="AW13" s="17"/>
      <c r="AX13" s="1" t="s">
        <v>35</v>
      </c>
      <c r="AY13" s="2" t="s">
        <v>36</v>
      </c>
      <c r="AZ13" s="33"/>
      <c r="BA13" s="3"/>
      <c r="BB13" s="17"/>
      <c r="BC13" s="1" t="s">
        <v>35</v>
      </c>
      <c r="BD13" s="2" t="s">
        <v>36</v>
      </c>
      <c r="BE13" s="33"/>
      <c r="BF13" s="3"/>
      <c r="BG13" s="35"/>
      <c r="BH13" s="15"/>
      <c r="BI13" s="15"/>
      <c r="BJ13" s="16"/>
      <c r="BK13" s="1"/>
      <c r="BL13" s="17"/>
      <c r="BM13" s="5" t="str" cm="1">
        <f t="array" ref="BM13">_xll.ds(BM14:BN18)</f>
        <v>&amp;CRV2_BM13:50.1</v>
      </c>
      <c r="BN13" s="20"/>
      <c r="BO13" s="18"/>
    </row>
    <row r="14" spans="2:68" ht="16.5" thickTop="1" thickBot="1" x14ac:dyDescent="0.3">
      <c r="B14" s="17"/>
      <c r="C14" s="9" t="s">
        <v>159</v>
      </c>
      <c r="D14" s="45">
        <v>1000</v>
      </c>
      <c r="E14" s="19"/>
      <c r="G14" s="17"/>
      <c r="H14" s="1" t="s">
        <v>0</v>
      </c>
      <c r="I14" s="2" t="s">
        <v>126</v>
      </c>
      <c r="J14" s="18"/>
      <c r="L14" s="17"/>
      <c r="M14" s="10">
        <v>45355</v>
      </c>
      <c r="N14" s="5">
        <v>9.9726027397259998</v>
      </c>
      <c r="O14" s="18"/>
      <c r="Q14" s="17"/>
      <c r="R14" s="10"/>
      <c r="S14" s="40"/>
      <c r="T14" s="40"/>
      <c r="U14" s="40"/>
      <c r="V14" s="18"/>
      <c r="AC14" s="17"/>
      <c r="AD14" s="1" t="s">
        <v>27</v>
      </c>
      <c r="AE14" s="6">
        <f>$D$23</f>
        <v>44537</v>
      </c>
      <c r="AF14" s="18"/>
      <c r="AH14" s="17"/>
      <c r="AI14" s="1" t="s">
        <v>25</v>
      </c>
      <c r="AJ14" s="4">
        <f>$AE$6</f>
        <v>97.79017811972227</v>
      </c>
      <c r="AK14" s="18"/>
      <c r="AM14" s="17"/>
      <c r="AN14" s="1" t="s">
        <v>27</v>
      </c>
      <c r="AO14" s="6">
        <f>$D$23</f>
        <v>44537</v>
      </c>
      <c r="AP14" s="18"/>
      <c r="AR14" s="17"/>
      <c r="AS14" s="20"/>
      <c r="AT14" s="20"/>
      <c r="AU14" s="18"/>
      <c r="AW14" s="17"/>
      <c r="AX14" s="20"/>
      <c r="AY14" s="20"/>
      <c r="AZ14" s="33"/>
      <c r="BA14" s="3"/>
      <c r="BB14" s="17"/>
      <c r="BC14" s="20"/>
      <c r="BD14" s="20"/>
      <c r="BE14" s="33"/>
      <c r="BF14" s="3"/>
      <c r="BG14" s="3"/>
      <c r="BK14" s="1"/>
      <c r="BL14" s="17"/>
      <c r="BM14" s="1" t="s">
        <v>22</v>
      </c>
      <c r="BN14" s="4" t="str">
        <f>$BM$23</f>
        <v>&amp;CRV1_BM23:50.1</v>
      </c>
      <c r="BO14" s="18"/>
    </row>
    <row r="15" spans="2:68" ht="16.5" thickTop="1" thickBot="1" x14ac:dyDescent="0.3">
      <c r="B15" s="17"/>
      <c r="C15" s="64" t="s">
        <v>155</v>
      </c>
      <c r="D15" s="65"/>
      <c r="E15" s="19"/>
      <c r="G15" s="17"/>
      <c r="H15" s="1" t="s">
        <v>2</v>
      </c>
      <c r="I15" s="2" t="s">
        <v>12</v>
      </c>
      <c r="J15" s="18"/>
      <c r="L15" s="17"/>
      <c r="M15" s="10">
        <v>45446</v>
      </c>
      <c r="N15" s="5">
        <v>9.9726027397259998</v>
      </c>
      <c r="O15" s="18"/>
      <c r="Q15" s="17"/>
      <c r="R15" s="10"/>
      <c r="S15" s="40"/>
      <c r="U15" s="40"/>
      <c r="V15" s="18"/>
      <c r="X15" s="11"/>
      <c r="Y15" s="12"/>
      <c r="Z15" s="12"/>
      <c r="AA15" s="13"/>
      <c r="AC15" s="14"/>
      <c r="AD15" s="15"/>
      <c r="AE15" s="15"/>
      <c r="AF15" s="16"/>
      <c r="AH15" s="17"/>
      <c r="AI15" s="1" t="s">
        <v>27</v>
      </c>
      <c r="AJ15" s="6">
        <f>$D$5</f>
        <v>44805</v>
      </c>
      <c r="AK15" s="18"/>
      <c r="AM15" s="14"/>
      <c r="AN15" s="15"/>
      <c r="AO15" s="15"/>
      <c r="AP15" s="16"/>
      <c r="AR15" s="17"/>
      <c r="AS15" s="64" t="s">
        <v>90</v>
      </c>
      <c r="AT15" s="65"/>
      <c r="AU15" s="18"/>
      <c r="AW15" s="17"/>
      <c r="AX15" s="64" t="s">
        <v>108</v>
      </c>
      <c r="AY15" s="65"/>
      <c r="AZ15" s="33"/>
      <c r="BA15" s="3"/>
      <c r="BB15" s="17"/>
      <c r="BC15" s="64" t="s">
        <v>108</v>
      </c>
      <c r="BD15" s="65"/>
      <c r="BE15" s="33"/>
      <c r="BF15" s="3"/>
      <c r="BG15" s="34"/>
      <c r="BH15" s="12"/>
      <c r="BI15" s="12"/>
      <c r="BJ15" s="13"/>
      <c r="BK15" s="1"/>
      <c r="BL15" s="17"/>
      <c r="BM15" s="1" t="s">
        <v>2</v>
      </c>
      <c r="BN15" s="2" t="s">
        <v>65</v>
      </c>
      <c r="BO15" s="18"/>
    </row>
    <row r="16" spans="2:68" ht="16.5" thickTop="1" thickBot="1" x14ac:dyDescent="0.3">
      <c r="B16" s="17"/>
      <c r="C16" t="s">
        <v>78</v>
      </c>
      <c r="D16" s="2">
        <v>100</v>
      </c>
      <c r="E16" s="19"/>
      <c r="G16" s="17"/>
      <c r="H16" s="1" t="s">
        <v>127</v>
      </c>
      <c r="I16" s="69" cm="1">
        <f t="array" ref="I16">_xll.ds("Date::Add Period","Date=",$D$23,"Period=",$D$34)</f>
        <v>44540</v>
      </c>
      <c r="J16" s="18"/>
      <c r="L16" s="17"/>
      <c r="M16" s="10">
        <v>45538</v>
      </c>
      <c r="N16" s="5">
        <v>10.082191780821814</v>
      </c>
      <c r="O16" s="18"/>
      <c r="Q16" s="17"/>
      <c r="R16" s="10"/>
      <c r="S16" s="40"/>
      <c r="T16" s="40"/>
      <c r="U16" s="40"/>
      <c r="V16" s="18"/>
      <c r="X16" s="17"/>
      <c r="Y16" s="66" t="s">
        <v>147</v>
      </c>
      <c r="Z16" s="67"/>
      <c r="AA16" s="18"/>
      <c r="AH16" s="14"/>
      <c r="AI16" s="15"/>
      <c r="AJ16" s="15"/>
      <c r="AK16" s="16"/>
      <c r="AR16" s="17"/>
      <c r="AS16" s="5" t="str" cm="1">
        <f t="array" ref="AS16">_xll.ds(AS17:AT19)</f>
        <v>&amp;FxdBnd_AS16:50.1</v>
      </c>
      <c r="AT16" s="20"/>
      <c r="AU16" s="18"/>
      <c r="AW16" s="17"/>
      <c r="AX16" s="5" t="str" cm="1">
        <f t="array" ref="AX16">_xll.ds(AX17:AY21)</f>
        <v>&amp;YieldConvs_AX16:50.1</v>
      </c>
      <c r="AY16" s="20"/>
      <c r="AZ16" s="33"/>
      <c r="BA16" s="3"/>
      <c r="BB16" s="17"/>
      <c r="BC16" s="5" t="str" cm="1">
        <f t="array" ref="BC16">_xll.ds(BC17:BD21)</f>
        <v>&amp;YieldConvs_BC16:50.1</v>
      </c>
      <c r="BD16" s="20"/>
      <c r="BE16" s="33"/>
      <c r="BF16" s="3"/>
      <c r="BG16" s="36"/>
      <c r="BH16" s="66" t="s">
        <v>101</v>
      </c>
      <c r="BI16" s="67"/>
      <c r="BJ16" s="18"/>
      <c r="BL16" s="17"/>
      <c r="BM16" s="1" t="s">
        <v>75</v>
      </c>
      <c r="BN16" s="2" t="s">
        <v>96</v>
      </c>
      <c r="BO16" s="18"/>
    </row>
    <row r="17" spans="2:67" ht="15.75" thickTop="1" x14ac:dyDescent="0.25">
      <c r="B17" s="17"/>
      <c r="C17" s="9" t="s">
        <v>83</v>
      </c>
      <c r="D17" s="2">
        <v>1</v>
      </c>
      <c r="E17" s="18"/>
      <c r="G17" s="17"/>
      <c r="H17" s="1" t="s">
        <v>128</v>
      </c>
      <c r="I17" s="2" t="b">
        <v>0</v>
      </c>
      <c r="J17" s="18"/>
      <c r="L17" s="17"/>
      <c r="M17" s="10">
        <v>45629</v>
      </c>
      <c r="N17" s="5">
        <v>9.9726027397259998</v>
      </c>
      <c r="O17" s="18"/>
      <c r="Q17" s="17"/>
      <c r="R17" s="10"/>
      <c r="S17" s="40"/>
      <c r="T17" s="40"/>
      <c r="U17" s="40"/>
      <c r="V17" s="18"/>
      <c r="X17" s="17"/>
      <c r="Y17" s="40">
        <f>$Y$23*100/Z18</f>
        <v>98.776479489585284</v>
      </c>
      <c r="Z17" s="20"/>
      <c r="AA17" s="18"/>
      <c r="AD17" s="1"/>
      <c r="AE17" s="10"/>
      <c r="AR17" s="17"/>
      <c r="AS17" s="1" t="s">
        <v>22</v>
      </c>
      <c r="AT17" s="4" t="str">
        <f>$C$26</f>
        <v>&amp;FxdBnd_C26:50.1</v>
      </c>
      <c r="AU17" s="18"/>
      <c r="AW17" s="17"/>
      <c r="AX17" s="1" t="s">
        <v>0</v>
      </c>
      <c r="AY17" s="2" t="s">
        <v>28</v>
      </c>
      <c r="AZ17" s="33"/>
      <c r="BA17" s="3"/>
      <c r="BB17" s="17"/>
      <c r="BC17" s="1" t="s">
        <v>0</v>
      </c>
      <c r="BD17" s="2" t="s">
        <v>28</v>
      </c>
      <c r="BE17" s="33"/>
      <c r="BF17" s="3"/>
      <c r="BG17" s="36"/>
      <c r="BH17" s="5" cm="1">
        <f t="array" ref="BH17">_xll.ds(BH18:BI21)</f>
        <v>88.827267200137371</v>
      </c>
      <c r="BI17" s="20"/>
      <c r="BJ17" s="18"/>
      <c r="BK17" s="5"/>
      <c r="BL17" s="17"/>
      <c r="BM17" s="1" t="s">
        <v>66</v>
      </c>
      <c r="BN17" s="2" t="s">
        <v>73</v>
      </c>
      <c r="BO17" s="18"/>
    </row>
    <row r="18" spans="2:67" x14ac:dyDescent="0.25">
      <c r="B18" s="17"/>
      <c r="C18" s="9" t="s">
        <v>105</v>
      </c>
      <c r="D18" s="2" t="s">
        <v>32</v>
      </c>
      <c r="E18" s="18"/>
      <c r="G18" s="17"/>
      <c r="H18" s="1" t="s">
        <v>129</v>
      </c>
      <c r="I18" s="10" cm="1">
        <f t="array" ref="I18">_xll.ds("Date::Add Period","Date=",$D$5,"Period=",$D$34)</f>
        <v>44808</v>
      </c>
      <c r="J18" s="18"/>
      <c r="L18" s="17"/>
      <c r="M18" s="10">
        <v>45719</v>
      </c>
      <c r="N18" s="5">
        <v>9.8630136986301853</v>
      </c>
      <c r="O18" s="18"/>
      <c r="Q18" s="17"/>
      <c r="R18" s="10"/>
      <c r="S18" s="40"/>
      <c r="T18" s="40"/>
      <c r="U18" s="40"/>
      <c r="V18" s="18"/>
      <c r="X18" s="17"/>
      <c r="Y18" s="9" t="s">
        <v>142</v>
      </c>
      <c r="Z18" s="68" cm="1">
        <f t="array" ref="Z18">_xll.ds("Notional",$C$26,"Ref Date=",$D$5)</f>
        <v>1000</v>
      </c>
      <c r="AA18" s="18"/>
      <c r="AD18" s="1"/>
      <c r="AE18" s="10"/>
      <c r="AR18" s="17"/>
      <c r="AS18" s="1" t="s">
        <v>2</v>
      </c>
      <c r="AT18" s="2" t="s">
        <v>63</v>
      </c>
      <c r="AU18" s="18"/>
      <c r="AW18" s="17"/>
      <c r="AX18" s="1" t="s">
        <v>2</v>
      </c>
      <c r="AY18" s="2" t="s">
        <v>12</v>
      </c>
      <c r="AZ18" s="33"/>
      <c r="BA18" s="3"/>
      <c r="BB18" s="17"/>
      <c r="BC18" s="1" t="s">
        <v>2</v>
      </c>
      <c r="BD18" s="2" t="s">
        <v>12</v>
      </c>
      <c r="BE18" s="33"/>
      <c r="BF18" s="3"/>
      <c r="BG18" s="36"/>
      <c r="BH18" s="1" t="s">
        <v>22</v>
      </c>
      <c r="BI18" s="4" t="str">
        <f>$BH$34</f>
        <v>&amp;ZeroSettled_BH34:50.1</v>
      </c>
      <c r="BJ18" s="18"/>
      <c r="BK18" s="1"/>
      <c r="BL18" s="17"/>
      <c r="BM18" s="1" t="s">
        <v>64</v>
      </c>
      <c r="BN18" s="4" t="str">
        <f>"%"&amp;($D$4-$D$23)&amp;"D"</f>
        <v>%-4D</v>
      </c>
      <c r="BO18" s="18"/>
    </row>
    <row r="19" spans="2:67" ht="15.75" thickBot="1" x14ac:dyDescent="0.3">
      <c r="B19" s="17"/>
      <c r="C19" s="9" t="s">
        <v>144</v>
      </c>
      <c r="D19" s="2" t="b">
        <v>1</v>
      </c>
      <c r="E19" s="18"/>
      <c r="G19" s="17"/>
      <c r="H19" s="1" t="s">
        <v>130</v>
      </c>
      <c r="I19" s="2" t="b">
        <v>1</v>
      </c>
      <c r="J19" s="18"/>
      <c r="L19" s="17"/>
      <c r="M19" s="10">
        <v>45811</v>
      </c>
      <c r="N19" s="5">
        <v>10.082191780821814</v>
      </c>
      <c r="O19" s="18"/>
      <c r="Q19" s="17"/>
      <c r="R19" s="10"/>
      <c r="S19" s="40"/>
      <c r="T19" s="40"/>
      <c r="U19" s="40"/>
      <c r="V19" s="18"/>
      <c r="X19" s="14"/>
      <c r="Y19" s="15"/>
      <c r="Z19" s="15"/>
      <c r="AA19" s="16"/>
      <c r="AD19" s="1"/>
      <c r="AE19" s="10"/>
      <c r="AR19" s="17"/>
      <c r="AS19" s="1" t="s">
        <v>64</v>
      </c>
      <c r="AT19" s="4" t="str">
        <f>"%"&amp;($D$23-$D$5)&amp;"D"</f>
        <v>%-268D</v>
      </c>
      <c r="AU19" s="28"/>
      <c r="AV19" s="4"/>
      <c r="AW19" s="17"/>
      <c r="AX19" s="1" t="s">
        <v>75</v>
      </c>
      <c r="AY19" s="2" t="s">
        <v>87</v>
      </c>
      <c r="AZ19" s="33"/>
      <c r="BA19" s="3"/>
      <c r="BB19" s="17"/>
      <c r="BC19" s="1" t="s">
        <v>75</v>
      </c>
      <c r="BD19" s="2" t="s">
        <v>87</v>
      </c>
      <c r="BE19" s="33"/>
      <c r="BF19" s="3"/>
      <c r="BG19" s="36"/>
      <c r="BH19" s="1" t="s">
        <v>2</v>
      </c>
      <c r="BI19" s="2" t="s">
        <v>71</v>
      </c>
      <c r="BJ19" s="18"/>
      <c r="BK19" s="1"/>
      <c r="BL19" s="14"/>
      <c r="BM19" s="15"/>
      <c r="BN19" s="15"/>
      <c r="BO19" s="16"/>
    </row>
    <row r="20" spans="2:67" ht="16.5" thickTop="1" thickBot="1" x14ac:dyDescent="0.3">
      <c r="B20" s="17"/>
      <c r="C20" s="9" t="s">
        <v>107</v>
      </c>
      <c r="D20" s="2" t="s">
        <v>32</v>
      </c>
      <c r="E20" s="18"/>
      <c r="G20" s="17"/>
      <c r="H20" s="21"/>
      <c r="I20" s="22"/>
      <c r="J20" s="18"/>
      <c r="L20" s="17"/>
      <c r="M20" s="10">
        <v>45903</v>
      </c>
      <c r="N20" s="5">
        <v>10.082191780821814</v>
      </c>
      <c r="O20" s="18"/>
      <c r="Q20" s="17"/>
      <c r="R20" s="10"/>
      <c r="S20" s="40"/>
      <c r="T20" s="40"/>
      <c r="U20" s="40"/>
      <c r="V20" s="18"/>
      <c r="AE20" s="4"/>
      <c r="AR20" s="14"/>
      <c r="AS20" s="15"/>
      <c r="AT20" s="15"/>
      <c r="AU20" s="16"/>
      <c r="AW20" s="17"/>
      <c r="AX20" s="1" t="s">
        <v>29</v>
      </c>
      <c r="AY20" s="2" t="s">
        <v>30</v>
      </c>
      <c r="AZ20" s="33"/>
      <c r="BA20" s="3"/>
      <c r="BB20" s="17"/>
      <c r="BC20" s="1" t="s">
        <v>29</v>
      </c>
      <c r="BD20" s="2" t="s">
        <v>30</v>
      </c>
      <c r="BE20" s="33"/>
      <c r="BF20" s="3"/>
      <c r="BG20" s="36"/>
      <c r="BH20" s="1" t="s">
        <v>74</v>
      </c>
      <c r="BI20" s="4">
        <f>$BH$26</f>
        <v>89.813568570000385</v>
      </c>
      <c r="BJ20" s="18"/>
      <c r="BK20" s="1"/>
      <c r="BL20" s="2"/>
    </row>
    <row r="21" spans="2:67" ht="15.75" thickTop="1" x14ac:dyDescent="0.25">
      <c r="B21" s="17"/>
      <c r="C21" s="20"/>
      <c r="D21" s="20"/>
      <c r="E21" s="18"/>
      <c r="G21" s="17"/>
      <c r="H21" s="68" t="str" cm="1">
        <f t="array" ref="H21">_xll.ds(H22:I26)</f>
        <v>&amp;AllFlows_H21:50.1</v>
      </c>
      <c r="I21" s="20"/>
      <c r="J21" s="18"/>
      <c r="L21" s="17"/>
      <c r="M21" s="10">
        <v>45994</v>
      </c>
      <c r="N21" s="5">
        <v>9.9726027397259998</v>
      </c>
      <c r="O21" s="18"/>
      <c r="Q21" s="17"/>
      <c r="R21" s="10"/>
      <c r="S21" s="40"/>
      <c r="T21" s="40"/>
      <c r="U21" s="40"/>
      <c r="V21" s="18"/>
      <c r="X21" s="11"/>
      <c r="Y21" s="12"/>
      <c r="Z21" s="12"/>
      <c r="AA21" s="13"/>
      <c r="AD21" s="5"/>
      <c r="AE21" s="10"/>
      <c r="AW21" s="17"/>
      <c r="AX21" s="1" t="s">
        <v>31</v>
      </c>
      <c r="AY21" s="4" t="str">
        <f>$D$20</f>
        <v>%ACT/365F</v>
      </c>
      <c r="AZ21" s="33"/>
      <c r="BA21" s="3"/>
      <c r="BB21" s="17"/>
      <c r="BC21" s="1" t="s">
        <v>31</v>
      </c>
      <c r="BD21" s="4" t="str">
        <f>$D$20</f>
        <v>%ACT/365F</v>
      </c>
      <c r="BE21" s="33"/>
      <c r="BF21" s="3"/>
      <c r="BG21" s="36"/>
      <c r="BH21" s="1" t="s">
        <v>27</v>
      </c>
      <c r="BI21" s="6">
        <f>$D$5</f>
        <v>44805</v>
      </c>
      <c r="BJ21" s="18"/>
      <c r="BL21" s="11"/>
      <c r="BM21" s="12"/>
      <c r="BN21" s="12"/>
      <c r="BO21" s="13"/>
    </row>
    <row r="22" spans="2:67" ht="15.75" thickBot="1" x14ac:dyDescent="0.3">
      <c r="B22" s="17"/>
      <c r="C22" s="64" t="s">
        <v>82</v>
      </c>
      <c r="D22" s="65"/>
      <c r="E22" s="18"/>
      <c r="G22" s="17"/>
      <c r="H22" s="1" t="s">
        <v>22</v>
      </c>
      <c r="I22" s="4" t="str">
        <f>$C$26</f>
        <v>&amp;FxdBnd_C26:50.1</v>
      </c>
      <c r="J22" s="18"/>
      <c r="L22" s="17"/>
      <c r="M22" s="10">
        <v>46084</v>
      </c>
      <c r="N22" s="5">
        <v>9.8630136986301853</v>
      </c>
      <c r="O22" s="18"/>
      <c r="Q22" s="17"/>
      <c r="R22" s="10"/>
      <c r="S22" s="40"/>
      <c r="T22" s="40"/>
      <c r="U22" s="40"/>
      <c r="V22" s="18"/>
      <c r="X22" s="17"/>
      <c r="Y22" s="66" t="s">
        <v>112</v>
      </c>
      <c r="Z22" s="67"/>
      <c r="AA22" s="18"/>
      <c r="AD22" s="10"/>
      <c r="AE22" s="5"/>
      <c r="AW22" s="14"/>
      <c r="AX22" s="31"/>
      <c r="AY22" s="31"/>
      <c r="AZ22" s="32"/>
      <c r="BA22" s="3"/>
      <c r="BB22" s="14"/>
      <c r="BC22" s="31"/>
      <c r="BD22" s="31"/>
      <c r="BE22" s="32"/>
      <c r="BF22" s="3"/>
      <c r="BG22" s="35"/>
      <c r="BH22" s="15"/>
      <c r="BI22" s="15"/>
      <c r="BJ22" s="16"/>
      <c r="BL22" s="17"/>
      <c r="BM22" s="66" t="s">
        <v>94</v>
      </c>
      <c r="BN22" s="67"/>
      <c r="BO22" s="18"/>
    </row>
    <row r="23" spans="2:67" ht="16.5" thickTop="1" thickBot="1" x14ac:dyDescent="0.3">
      <c r="B23" s="17"/>
      <c r="C23" t="s">
        <v>79</v>
      </c>
      <c r="D23" s="69" cm="1">
        <f t="array" ref="D23">_xll.ds("Settle Date",$C$26,"RefDate=",$D$4)</f>
        <v>44537</v>
      </c>
      <c r="E23" s="18"/>
      <c r="G23" s="17"/>
      <c r="H23" s="1" t="s">
        <v>2</v>
      </c>
      <c r="I23" s="2" t="s">
        <v>116</v>
      </c>
      <c r="J23" s="18"/>
      <c r="L23" s="17"/>
      <c r="M23" s="10">
        <v>46176</v>
      </c>
      <c r="N23" s="5">
        <v>10.082191780821814</v>
      </c>
      <c r="O23" s="18"/>
      <c r="Q23" s="17"/>
      <c r="R23" s="10"/>
      <c r="S23" s="40"/>
      <c r="T23" s="40"/>
      <c r="U23" s="40"/>
      <c r="V23" s="18"/>
      <c r="X23" s="17"/>
      <c r="Y23" s="7">
        <f>Z25-Z24</f>
        <v>987.76479489585279</v>
      </c>
      <c r="Z23" s="20"/>
      <c r="AA23" s="18"/>
      <c r="AD23" s="10"/>
      <c r="AE23" s="5"/>
      <c r="AX23" s="3"/>
      <c r="AY23" s="3"/>
      <c r="AZ23" s="3"/>
      <c r="BA23" s="3"/>
      <c r="BC23" s="3"/>
      <c r="BD23" s="3"/>
      <c r="BE23" s="3"/>
      <c r="BF23" s="3"/>
      <c r="BG23" s="3"/>
      <c r="BL23" s="17"/>
      <c r="BM23" s="5" t="str" cm="1">
        <f t="array" ref="BM23">_xll.ds(BM24:BN28)</f>
        <v>&amp;CRV1_BM23:50.1</v>
      </c>
      <c r="BN23" s="20"/>
      <c r="BO23" s="18"/>
    </row>
    <row r="24" spans="2:67" ht="15.75" thickTop="1" x14ac:dyDescent="0.25">
      <c r="B24" s="17"/>
      <c r="C24" s="20"/>
      <c r="D24" s="20"/>
      <c r="E24" s="18"/>
      <c r="G24" s="17"/>
      <c r="H24" s="1" t="s">
        <v>75</v>
      </c>
      <c r="I24" s="2" t="s">
        <v>131</v>
      </c>
      <c r="J24" s="18"/>
      <c r="L24" s="17"/>
      <c r="M24" s="10">
        <v>46268</v>
      </c>
      <c r="N24" s="5">
        <v>10.082191780821814</v>
      </c>
      <c r="O24" s="18"/>
      <c r="Q24" s="17"/>
      <c r="R24" s="10"/>
      <c r="S24" s="40"/>
      <c r="T24" s="40"/>
      <c r="U24" s="40"/>
      <c r="V24" s="18"/>
      <c r="X24" s="17"/>
      <c r="Y24" s="9" t="s">
        <v>146</v>
      </c>
      <c r="Z24" s="4">
        <f>$U$4</f>
        <v>20.019245637080072</v>
      </c>
      <c r="AA24" s="18"/>
      <c r="AD24" s="10"/>
      <c r="AE24" s="5"/>
      <c r="AV24" s="4"/>
      <c r="AX24" s="3"/>
      <c r="AY24" s="3"/>
      <c r="AZ24" s="3"/>
      <c r="BA24" s="3"/>
      <c r="BC24" s="3"/>
      <c r="BD24" s="3"/>
      <c r="BE24" s="3"/>
      <c r="BF24" s="3"/>
      <c r="BG24" s="34"/>
      <c r="BH24" s="12"/>
      <c r="BI24" s="12"/>
      <c r="BJ24" s="13"/>
      <c r="BL24" s="17"/>
      <c r="BM24" s="1" t="s">
        <v>22</v>
      </c>
      <c r="BN24" s="4" t="str">
        <f>Curves!$C$4</f>
        <v>&amp;DiscCrv_C4:52.1</v>
      </c>
      <c r="BO24" s="18"/>
    </row>
    <row r="25" spans="2:67" x14ac:dyDescent="0.25">
      <c r="B25" s="17"/>
      <c r="C25" s="64" t="s">
        <v>80</v>
      </c>
      <c r="D25" s="65"/>
      <c r="E25" s="18"/>
      <c r="G25" s="17"/>
      <c r="H25" s="1" t="s">
        <v>162</v>
      </c>
      <c r="I25" s="6">
        <f>$D$4</f>
        <v>44533</v>
      </c>
      <c r="J25" s="18"/>
      <c r="L25" s="17"/>
      <c r="M25" s="10">
        <v>46359</v>
      </c>
      <c r="N25" s="5">
        <v>1009.972602739726</v>
      </c>
      <c r="O25" s="18"/>
      <c r="Q25" s="17"/>
      <c r="R25" s="10"/>
      <c r="S25" s="40"/>
      <c r="T25" s="40"/>
      <c r="U25" s="40"/>
      <c r="V25" s="18"/>
      <c r="X25" s="17"/>
      <c r="Y25" s="9" t="s">
        <v>145</v>
      </c>
      <c r="Z25" s="4">
        <f>$Y$46*$Y$28</f>
        <v>1007.7840405329329</v>
      </c>
      <c r="AA25" s="18"/>
      <c r="AD25" s="10"/>
      <c r="AE25" s="5"/>
      <c r="AV25" s="2"/>
      <c r="AX25" s="3"/>
      <c r="AY25" s="3"/>
      <c r="AZ25" s="3"/>
      <c r="BA25" s="3"/>
      <c r="BC25" s="3"/>
      <c r="BD25" s="3"/>
      <c r="BE25" s="3"/>
      <c r="BF25" s="3"/>
      <c r="BG25" s="36"/>
      <c r="BH25" s="66" t="s">
        <v>100</v>
      </c>
      <c r="BI25" s="67"/>
      <c r="BJ25" s="18"/>
      <c r="BL25" s="17"/>
      <c r="BM25" s="1" t="s">
        <v>2</v>
      </c>
      <c r="BN25" s="2" t="s">
        <v>65</v>
      </c>
      <c r="BO25" s="18"/>
    </row>
    <row r="26" spans="2:67" x14ac:dyDescent="0.25">
      <c r="B26" s="17"/>
      <c r="C26" s="68" t="str" cm="1">
        <f t="array" ref="C26">_xll.ds(C27:D36)</f>
        <v>&amp;FxdBnd_C26:50.1</v>
      </c>
      <c r="D26" s="20"/>
      <c r="E26" s="18"/>
      <c r="G26" s="17"/>
      <c r="H26" s="1" t="s">
        <v>117</v>
      </c>
      <c r="I26" s="4" t="str">
        <f>$H$28</f>
        <v>&amp;CFMdl_H28:50.1</v>
      </c>
      <c r="J26" s="18"/>
      <c r="L26" s="17"/>
      <c r="M26" s="47"/>
      <c r="N26" s="40"/>
      <c r="O26" s="18"/>
      <c r="Q26" s="17"/>
      <c r="R26" s="10"/>
      <c r="S26" s="40"/>
      <c r="T26" s="40"/>
      <c r="U26" s="40"/>
      <c r="V26" s="18"/>
      <c r="X26" s="17"/>
      <c r="Y26" s="20"/>
      <c r="Z26" s="20"/>
      <c r="AA26" s="18"/>
      <c r="AD26" s="10"/>
      <c r="AE26" s="5"/>
      <c r="AP26" s="8"/>
      <c r="AV26" s="4"/>
      <c r="AX26" s="3"/>
      <c r="AY26" s="3"/>
      <c r="AZ26" s="3"/>
      <c r="BA26" s="3"/>
      <c r="BC26" s="3"/>
      <c r="BD26" s="3"/>
      <c r="BE26" s="3"/>
      <c r="BF26" s="3"/>
      <c r="BG26" s="36"/>
      <c r="BH26" s="5" cm="1">
        <f t="array" ref="BH26">_xll.ds(BH27:BI29)</f>
        <v>89.813568570000385</v>
      </c>
      <c r="BI26" s="20"/>
      <c r="BJ26" s="18"/>
      <c r="BL26" s="17"/>
      <c r="BM26" s="1" t="s">
        <v>75</v>
      </c>
      <c r="BN26" s="2" t="s">
        <v>93</v>
      </c>
      <c r="BO26" s="18"/>
    </row>
    <row r="27" spans="2:67" x14ac:dyDescent="0.25">
      <c r="B27" s="17"/>
      <c r="C27" s="1" t="s">
        <v>0</v>
      </c>
      <c r="D27" s="2" t="s">
        <v>1</v>
      </c>
      <c r="E27" s="18"/>
      <c r="G27" s="17"/>
      <c r="H27" s="20"/>
      <c r="I27" s="20"/>
      <c r="J27" s="18"/>
      <c r="L27" s="17"/>
      <c r="M27" s="47"/>
      <c r="N27" s="40"/>
      <c r="O27" s="18"/>
      <c r="Q27" s="17"/>
      <c r="R27" s="10"/>
      <c r="S27" s="40"/>
      <c r="T27" s="40"/>
      <c r="U27" s="40"/>
      <c r="V27" s="18"/>
      <c r="X27" s="17"/>
      <c r="Y27" s="64" t="s">
        <v>111</v>
      </c>
      <c r="Z27" s="65"/>
      <c r="AA27" s="18"/>
      <c r="AD27" s="10"/>
      <c r="AE27" s="5"/>
      <c r="AX27" s="3"/>
      <c r="AY27" s="3"/>
      <c r="AZ27" s="3"/>
      <c r="BA27" s="3"/>
      <c r="BC27" s="3"/>
      <c r="BD27" s="3"/>
      <c r="BE27" s="3"/>
      <c r="BF27" s="3"/>
      <c r="BG27" s="37"/>
      <c r="BH27" s="1" t="s">
        <v>22</v>
      </c>
      <c r="BI27" s="4" t="str">
        <f>$BH$34</f>
        <v>&amp;ZeroSettled_BH34:50.1</v>
      </c>
      <c r="BJ27" s="18"/>
      <c r="BL27" s="17"/>
      <c r="BM27" s="1" t="s">
        <v>66</v>
      </c>
      <c r="BN27" s="2" t="s">
        <v>68</v>
      </c>
      <c r="BO27" s="18"/>
    </row>
    <row r="28" spans="2:67" x14ac:dyDescent="0.25">
      <c r="B28" s="17"/>
      <c r="C28" s="1" t="s">
        <v>2</v>
      </c>
      <c r="D28" s="2" t="s">
        <v>3</v>
      </c>
      <c r="E28" s="18"/>
      <c r="G28" s="17"/>
      <c r="H28" s="5" t="str" cm="1">
        <f t="array" ref="H28">_xll.ds(H29:I32)</f>
        <v>&amp;CFMdl_H28:50.1</v>
      </c>
      <c r="I28" s="20"/>
      <c r="J28" s="18"/>
      <c r="L28" s="17"/>
      <c r="M28" s="47"/>
      <c r="N28" s="40"/>
      <c r="O28" s="18"/>
      <c r="Q28" s="17"/>
      <c r="R28" s="10"/>
      <c r="S28" s="40"/>
      <c r="T28" s="40"/>
      <c r="U28" s="40"/>
      <c r="V28" s="18"/>
      <c r="X28" s="17"/>
      <c r="Y28" s="68" cm="1">
        <f t="array" ref="Y28">_xll.ds(Y29:Z33)</f>
        <v>1.0073424657534247</v>
      </c>
      <c r="Z28" s="20"/>
      <c r="AA28" s="18"/>
      <c r="AV28" s="4"/>
      <c r="AX28" s="3"/>
      <c r="AY28" s="3"/>
      <c r="AZ28" s="5"/>
      <c r="BA28" s="5"/>
      <c r="BC28" s="3"/>
      <c r="BD28" s="3"/>
      <c r="BE28" s="5"/>
      <c r="BF28" s="5"/>
      <c r="BG28" s="17"/>
      <c r="BH28" s="1" t="s">
        <v>2</v>
      </c>
      <c r="BI28" s="2" t="s">
        <v>72</v>
      </c>
      <c r="BJ28" s="18"/>
      <c r="BK28" s="1"/>
      <c r="BL28" s="17"/>
      <c r="BM28" s="1" t="s">
        <v>67</v>
      </c>
      <c r="BN28" s="4">
        <f>1/$BM$30</f>
        <v>1.0004377090081618</v>
      </c>
      <c r="BO28" s="18"/>
    </row>
    <row r="29" spans="2:67" x14ac:dyDescent="0.25">
      <c r="B29" s="17"/>
      <c r="C29" s="1" t="s">
        <v>4</v>
      </c>
      <c r="D29" s="2" t="s">
        <v>5</v>
      </c>
      <c r="E29" s="18"/>
      <c r="G29" s="17"/>
      <c r="H29" s="1" t="s">
        <v>0</v>
      </c>
      <c r="I29" s="2" t="s">
        <v>118</v>
      </c>
      <c r="J29" s="18"/>
      <c r="L29" s="17"/>
      <c r="M29" s="47"/>
      <c r="N29" s="40"/>
      <c r="O29" s="18"/>
      <c r="Q29" s="17"/>
      <c r="R29" s="10"/>
      <c r="S29" s="40"/>
      <c r="T29" s="40"/>
      <c r="U29" s="40"/>
      <c r="V29" s="18"/>
      <c r="X29" s="17"/>
      <c r="Y29" s="1" t="s">
        <v>22</v>
      </c>
      <c r="Z29" s="4" t="str">
        <f>$Y$36</f>
        <v>&amp;RepoConvs_Y36:50.1</v>
      </c>
      <c r="AA29" s="18"/>
      <c r="AV29" s="2"/>
      <c r="BG29" s="17"/>
      <c r="BH29" s="1" t="s">
        <v>41</v>
      </c>
      <c r="BI29" s="4" t="str">
        <f>$BM$4</f>
        <v>&amp;CRV3_BM4:50.1</v>
      </c>
      <c r="BJ29" s="18"/>
      <c r="BL29" s="17"/>
      <c r="BM29" s="20"/>
      <c r="BN29" s="20"/>
      <c r="BO29" s="18"/>
    </row>
    <row r="30" spans="2:67" ht="15.75" thickBot="1" x14ac:dyDescent="0.3">
      <c r="B30" s="17"/>
      <c r="C30" s="1" t="s">
        <v>6</v>
      </c>
      <c r="D30" s="4">
        <f>$D$8</f>
        <v>2</v>
      </c>
      <c r="E30" s="18"/>
      <c r="G30" s="17"/>
      <c r="H30" s="1" t="s">
        <v>2</v>
      </c>
      <c r="I30" s="2" t="s">
        <v>12</v>
      </c>
      <c r="J30" s="18"/>
      <c r="L30" s="17"/>
      <c r="M30" s="47"/>
      <c r="N30" s="40"/>
      <c r="O30" s="18"/>
      <c r="Q30" s="17"/>
      <c r="R30" s="10"/>
      <c r="S30" s="40"/>
      <c r="T30" s="40"/>
      <c r="U30" s="40"/>
      <c r="V30" s="18"/>
      <c r="X30" s="17"/>
      <c r="Y30" s="1" t="s">
        <v>2</v>
      </c>
      <c r="Z30" s="2" t="s">
        <v>106</v>
      </c>
      <c r="AA30" s="18"/>
      <c r="BG30" s="14"/>
      <c r="BH30" s="15"/>
      <c r="BI30" s="15"/>
      <c r="BJ30" s="16"/>
      <c r="BL30" s="17"/>
      <c r="BM30" s="5" cm="1">
        <f t="array" ref="BM30">_xll.ds(BM31:BN33)</f>
        <v>0.99956248249719049</v>
      </c>
      <c r="BN30" s="20"/>
      <c r="BO30" s="18"/>
    </row>
    <row r="31" spans="2:67" ht="16.5" thickTop="1" thickBot="1" x14ac:dyDescent="0.3">
      <c r="B31" s="17"/>
      <c r="C31" s="1" t="s">
        <v>7</v>
      </c>
      <c r="D31" s="4" t="str">
        <f>$C$39</f>
        <v>&amp;Sched_C39:50.1</v>
      </c>
      <c r="E31" s="18"/>
      <c r="G31" s="17"/>
      <c r="H31" s="1" t="s">
        <v>119</v>
      </c>
      <c r="I31" s="2" t="s">
        <v>167</v>
      </c>
      <c r="J31" s="18"/>
      <c r="L31" s="17"/>
      <c r="M31" s="47"/>
      <c r="N31" s="40"/>
      <c r="O31" s="18"/>
      <c r="Q31" s="17"/>
      <c r="R31" s="10"/>
      <c r="S31" s="40"/>
      <c r="T31" s="40"/>
      <c r="U31" s="40"/>
      <c r="V31" s="18"/>
      <c r="X31" s="17"/>
      <c r="Y31" s="1" t="s">
        <v>110</v>
      </c>
      <c r="Z31" s="4">
        <f>$D$17</f>
        <v>1</v>
      </c>
      <c r="AA31" s="18"/>
      <c r="BL31" s="17"/>
      <c r="BM31" s="1" t="s">
        <v>22</v>
      </c>
      <c r="BN31" s="4" t="str">
        <f>Curves!$C$4</f>
        <v>&amp;DiscCrv_C4:52.1</v>
      </c>
      <c r="BO31" s="18"/>
    </row>
    <row r="32" spans="2:67" ht="16.5" thickTop="1" thickBot="1" x14ac:dyDescent="0.3">
      <c r="B32" s="17"/>
      <c r="C32" s="1" t="s">
        <v>110</v>
      </c>
      <c r="D32" s="4">
        <f>$D$10</f>
        <v>4</v>
      </c>
      <c r="E32" s="18"/>
      <c r="G32" s="17"/>
      <c r="H32" s="1" t="s">
        <v>120</v>
      </c>
      <c r="I32" s="2" t="s">
        <v>115</v>
      </c>
      <c r="J32" s="18"/>
      <c r="L32" s="14"/>
      <c r="M32" s="15"/>
      <c r="N32" s="15"/>
      <c r="O32" s="16"/>
      <c r="Q32" s="14"/>
      <c r="R32" s="15"/>
      <c r="S32" s="15"/>
      <c r="T32" s="15"/>
      <c r="U32" s="15"/>
      <c r="V32" s="16"/>
      <c r="X32" s="17"/>
      <c r="Y32" s="1" t="s">
        <v>134</v>
      </c>
      <c r="Z32" s="6">
        <f>$D$23</f>
        <v>44537</v>
      </c>
      <c r="AA32" s="18"/>
      <c r="AQ32" s="8"/>
      <c r="AZ32" s="2"/>
      <c r="BE32" s="2"/>
      <c r="BG32" s="11"/>
      <c r="BH32" s="12"/>
      <c r="BI32" s="12"/>
      <c r="BJ32" s="13"/>
      <c r="BL32" s="17"/>
      <c r="BM32" s="1" t="s">
        <v>2</v>
      </c>
      <c r="BN32" s="2" t="s">
        <v>69</v>
      </c>
      <c r="BO32" s="18"/>
    </row>
    <row r="33" spans="2:67" ht="16.5" thickTop="1" thickBot="1" x14ac:dyDescent="0.3">
      <c r="B33" s="17"/>
      <c r="C33" s="1" t="s">
        <v>213</v>
      </c>
      <c r="D33" s="4" t="str">
        <f>$D$12</f>
        <v>%0D{US}</v>
      </c>
      <c r="E33" s="18"/>
      <c r="G33" s="14"/>
      <c r="H33" s="41"/>
      <c r="I33" s="42"/>
      <c r="J33" s="16"/>
      <c r="X33" s="17"/>
      <c r="Y33" s="1" t="s">
        <v>135</v>
      </c>
      <c r="Z33" s="6">
        <f>$D$5</f>
        <v>44805</v>
      </c>
      <c r="AA33" s="18"/>
      <c r="BG33" s="17"/>
      <c r="BH33" s="66" t="s">
        <v>99</v>
      </c>
      <c r="BI33" s="67"/>
      <c r="BJ33" s="18"/>
      <c r="BL33" s="17"/>
      <c r="BM33" s="1" t="s">
        <v>70</v>
      </c>
      <c r="BN33" s="6">
        <f>$D$23</f>
        <v>44537</v>
      </c>
      <c r="BO33" s="18"/>
    </row>
    <row r="34" spans="2:67" ht="16.5" thickTop="1" thickBot="1" x14ac:dyDescent="0.3">
      <c r="B34" s="17"/>
      <c r="C34" s="1" t="s">
        <v>113</v>
      </c>
      <c r="D34" s="4" t="str">
        <f>$D$13</f>
        <v>%3D</v>
      </c>
      <c r="E34" s="18"/>
      <c r="R34" s="49"/>
      <c r="S34" s="49"/>
      <c r="T34" s="49"/>
      <c r="X34" s="17"/>
      <c r="Y34" s="20"/>
      <c r="Z34" s="20"/>
      <c r="AA34" s="18"/>
      <c r="BG34" s="17"/>
      <c r="BH34" s="5" t="str" cm="1">
        <f t="array" ref="BH34">_xll.ds(BH35:BI39)</f>
        <v>&amp;ZeroSettled_BH34:50.1</v>
      </c>
      <c r="BI34" s="20"/>
      <c r="BJ34" s="18"/>
      <c r="BL34" s="14"/>
      <c r="BM34" s="15"/>
      <c r="BN34" s="15"/>
      <c r="BO34" s="16"/>
    </row>
    <row r="35" spans="2:67" ht="15.75" thickTop="1" x14ac:dyDescent="0.25">
      <c r="B35" s="17"/>
      <c r="C35" s="1" t="s">
        <v>10</v>
      </c>
      <c r="D35" s="2">
        <v>1</v>
      </c>
      <c r="E35" s="18"/>
      <c r="R35" s="49"/>
      <c r="S35" s="49"/>
      <c r="T35" s="49"/>
      <c r="X35" s="17"/>
      <c r="Y35" s="64" t="s">
        <v>109</v>
      </c>
      <c r="Z35" s="65"/>
      <c r="AA35" s="18"/>
      <c r="BG35" s="17"/>
      <c r="BH35" s="1" t="s">
        <v>22</v>
      </c>
      <c r="BI35" s="4" t="str">
        <f>$C$26</f>
        <v>&amp;FxdBnd_C26:50.1</v>
      </c>
      <c r="BJ35" s="18"/>
    </row>
    <row r="36" spans="2:67" x14ac:dyDescent="0.25">
      <c r="B36" s="17"/>
      <c r="C36" s="1" t="s">
        <v>23</v>
      </c>
      <c r="D36" s="46">
        <f>$D$14</f>
        <v>1000</v>
      </c>
      <c r="E36" s="18"/>
      <c r="R36" s="49"/>
      <c r="S36" s="49"/>
      <c r="T36" s="49"/>
      <c r="X36" s="17"/>
      <c r="Y36" s="5" t="str" cm="1">
        <f t="array" ref="Y36">_xll.ds(Y37:Z41)</f>
        <v>&amp;RepoConvs_Y36:50.1</v>
      </c>
      <c r="Z36" s="20"/>
      <c r="AA36" s="18"/>
      <c r="BG36" s="17"/>
      <c r="BH36" s="1" t="s">
        <v>2</v>
      </c>
      <c r="BI36" s="2" t="s">
        <v>38</v>
      </c>
      <c r="BJ36" s="18"/>
    </row>
    <row r="37" spans="2:67" x14ac:dyDescent="0.25">
      <c r="B37" s="17"/>
      <c r="C37" s="21"/>
      <c r="D37" s="22"/>
      <c r="E37" s="18"/>
      <c r="R37" s="50"/>
      <c r="S37" s="50"/>
      <c r="X37" s="17"/>
      <c r="Y37" s="1" t="s">
        <v>0</v>
      </c>
      <c r="Z37" s="2" t="s">
        <v>28</v>
      </c>
      <c r="AA37" s="18"/>
      <c r="BG37" s="17"/>
      <c r="BH37" s="1" t="s">
        <v>75</v>
      </c>
      <c r="BI37" s="2" t="s">
        <v>92</v>
      </c>
      <c r="BJ37" s="18"/>
    </row>
    <row r="38" spans="2:67" x14ac:dyDescent="0.25">
      <c r="B38" s="17"/>
      <c r="C38" s="64" t="s">
        <v>81</v>
      </c>
      <c r="D38" s="65"/>
      <c r="E38" s="18"/>
      <c r="R38" s="50"/>
      <c r="S38" s="50"/>
      <c r="X38" s="17"/>
      <c r="Y38" s="1" t="s">
        <v>2</v>
      </c>
      <c r="Z38" s="2" t="s">
        <v>12</v>
      </c>
      <c r="AA38" s="18"/>
      <c r="BG38" s="17"/>
      <c r="BH38" s="1" t="s">
        <v>6</v>
      </c>
      <c r="BI38" s="2">
        <v>0</v>
      </c>
      <c r="BJ38" s="18"/>
    </row>
    <row r="39" spans="2:67" x14ac:dyDescent="0.25">
      <c r="B39" s="17"/>
      <c r="C39" s="5" t="str" cm="1">
        <f t="array" ref="C39">_xll.ds(C40:D48)</f>
        <v>&amp;Sched_C39:50.1</v>
      </c>
      <c r="D39" s="20"/>
      <c r="E39" s="18"/>
      <c r="X39" s="17"/>
      <c r="Y39" s="1" t="s">
        <v>75</v>
      </c>
      <c r="Z39" s="2" t="s">
        <v>86</v>
      </c>
      <c r="AA39" s="18"/>
      <c r="BG39" s="17"/>
      <c r="BH39" s="1" t="s">
        <v>8</v>
      </c>
      <c r="BI39" s="2" t="s">
        <v>150</v>
      </c>
      <c r="BJ39" s="18"/>
    </row>
    <row r="40" spans="2:67" ht="15.75" thickBot="1" x14ac:dyDescent="0.3">
      <c r="B40" s="17"/>
      <c r="C40" s="1" t="s">
        <v>0</v>
      </c>
      <c r="D40" s="2" t="s">
        <v>11</v>
      </c>
      <c r="E40" s="18"/>
      <c r="X40" s="17"/>
      <c r="Y40" s="1" t="s">
        <v>29</v>
      </c>
      <c r="Z40" s="2" t="s">
        <v>30</v>
      </c>
      <c r="AA40" s="18"/>
      <c r="BG40" s="14"/>
      <c r="BH40" s="15"/>
      <c r="BI40" s="15"/>
      <c r="BJ40" s="16"/>
    </row>
    <row r="41" spans="2:67" ht="15.75" thickTop="1" x14ac:dyDescent="0.25">
      <c r="B41" s="17"/>
      <c r="C41" s="1" t="s">
        <v>2</v>
      </c>
      <c r="D41" s="2" t="s">
        <v>12</v>
      </c>
      <c r="E41" s="18"/>
      <c r="X41" s="17"/>
      <c r="Y41" s="1" t="s">
        <v>31</v>
      </c>
      <c r="Z41" s="4" t="str">
        <f>$D$18</f>
        <v>%ACT/365F</v>
      </c>
      <c r="AA41" s="18"/>
    </row>
    <row r="42" spans="2:67" ht="15.75" thickBot="1" x14ac:dyDescent="0.3">
      <c r="B42" s="17"/>
      <c r="C42" s="1" t="s">
        <v>13</v>
      </c>
      <c r="D42" s="6">
        <f>$D$7</f>
        <v>44533</v>
      </c>
      <c r="E42" s="18"/>
      <c r="X42" s="14"/>
      <c r="Y42" s="15"/>
      <c r="Z42" s="15"/>
      <c r="AA42" s="16"/>
      <c r="BH42" s="1"/>
      <c r="BI42" s="2"/>
    </row>
    <row r="43" spans="2:67" ht="16.5" thickTop="1" thickBot="1" x14ac:dyDescent="0.3">
      <c r="B43" s="17"/>
      <c r="C43" s="1" t="s">
        <v>14</v>
      </c>
      <c r="D43" s="2" t="b">
        <v>0</v>
      </c>
      <c r="E43" s="18"/>
      <c r="BK43" s="5"/>
    </row>
    <row r="44" spans="2:67" ht="15.75" thickTop="1" x14ac:dyDescent="0.25">
      <c r="B44" s="17"/>
      <c r="C44" s="1" t="s">
        <v>15</v>
      </c>
      <c r="D44" s="6">
        <f>$D$9</f>
        <v>46359</v>
      </c>
      <c r="E44" s="18"/>
      <c r="X44" s="11"/>
      <c r="Y44" s="12"/>
      <c r="Z44" s="12"/>
      <c r="AA44" s="13"/>
    </row>
    <row r="45" spans="2:67" x14ac:dyDescent="0.25">
      <c r="B45" s="17"/>
      <c r="C45" s="1" t="s">
        <v>16</v>
      </c>
      <c r="D45" s="4" t="str">
        <f>$D$11</f>
        <v>%3M</v>
      </c>
      <c r="E45" s="18"/>
      <c r="X45" s="17"/>
      <c r="Y45" s="66" t="s">
        <v>104</v>
      </c>
      <c r="Z45" s="67"/>
      <c r="AA45" s="18"/>
    </row>
    <row r="46" spans="2:67" x14ac:dyDescent="0.25">
      <c r="B46" s="17"/>
      <c r="C46" s="1" t="s">
        <v>17</v>
      </c>
      <c r="D46" s="2" t="s">
        <v>76</v>
      </c>
      <c r="E46" s="18"/>
      <c r="X46" s="24"/>
      <c r="Y46" s="68" cm="1">
        <f t="array" ref="Y46">_xll.ds(Y47:Z50)</f>
        <v>1000.4383561643834</v>
      </c>
      <c r="Z46" s="22"/>
      <c r="AA46" s="19"/>
    </row>
    <row r="47" spans="2:67" x14ac:dyDescent="0.25">
      <c r="B47" s="17"/>
      <c r="C47" s="1" t="s">
        <v>18</v>
      </c>
      <c r="D47" s="2" t="s">
        <v>19</v>
      </c>
      <c r="E47" s="18"/>
      <c r="X47" s="24"/>
      <c r="Y47" s="1" t="s">
        <v>22</v>
      </c>
      <c r="Z47" s="4" t="str">
        <f>$C$26</f>
        <v>&amp;FxdBnd_C26:50.1</v>
      </c>
      <c r="AA47" s="19"/>
    </row>
    <row r="48" spans="2:67" x14ac:dyDescent="0.25">
      <c r="B48" s="17"/>
      <c r="C48" s="1" t="s">
        <v>20</v>
      </c>
      <c r="D48" s="2" t="s">
        <v>21</v>
      </c>
      <c r="E48" s="18"/>
      <c r="X48" s="17"/>
      <c r="Y48" s="1" t="s">
        <v>2</v>
      </c>
      <c r="Z48" s="2" t="s">
        <v>103</v>
      </c>
      <c r="AA48" s="18"/>
    </row>
    <row r="49" spans="2:56" ht="15.75" thickBot="1" x14ac:dyDescent="0.3">
      <c r="B49" s="14"/>
      <c r="C49" s="15"/>
      <c r="D49" s="15"/>
      <c r="E49" s="16"/>
      <c r="X49" s="17"/>
      <c r="Y49" s="1" t="s">
        <v>25</v>
      </c>
      <c r="Z49" s="2">
        <v>100</v>
      </c>
      <c r="AA49" s="18"/>
    </row>
    <row r="50" spans="2:56" ht="15.75" thickTop="1" x14ac:dyDescent="0.25">
      <c r="X50" s="17"/>
      <c r="Y50" s="1" t="s">
        <v>27</v>
      </c>
      <c r="Z50" s="6">
        <f>$D$23</f>
        <v>44537</v>
      </c>
      <c r="AA50" s="18"/>
    </row>
    <row r="51" spans="2:56" ht="15.75" thickBot="1" x14ac:dyDescent="0.3">
      <c r="X51" s="14"/>
      <c r="Y51" s="15"/>
      <c r="Z51" s="15"/>
      <c r="AA51" s="16"/>
    </row>
    <row r="52" spans="2:56" ht="15.75" thickTop="1" x14ac:dyDescent="0.25"/>
    <row r="62" spans="2:56" x14ac:dyDescent="0.25">
      <c r="AX62" s="1"/>
      <c r="BC62" s="1"/>
    </row>
    <row r="63" spans="2:56" x14ac:dyDescent="0.25">
      <c r="AX63" s="1"/>
      <c r="BC63" s="1"/>
    </row>
    <row r="64" spans="2:56" x14ac:dyDescent="0.25">
      <c r="AX64" s="1"/>
      <c r="AY64" s="3"/>
      <c r="BC64" s="1"/>
      <c r="BD64" s="3"/>
    </row>
    <row r="66" spans="50:56" x14ac:dyDescent="0.25">
      <c r="AX66" s="5"/>
      <c r="AY66" s="7"/>
      <c r="BC66" s="5"/>
      <c r="BD66" s="7"/>
    </row>
    <row r="67" spans="50:56" x14ac:dyDescent="0.25">
      <c r="AX67" s="1"/>
      <c r="AY67" s="4"/>
      <c r="BC67" s="1"/>
      <c r="BD67" s="4"/>
    </row>
    <row r="68" spans="50:56" x14ac:dyDescent="0.25">
      <c r="AX68" s="1"/>
      <c r="AY68" s="2"/>
      <c r="BC68" s="1"/>
      <c r="BD68" s="2"/>
    </row>
    <row r="69" spans="50:56" x14ac:dyDescent="0.25">
      <c r="AX69" s="1"/>
      <c r="AY69" s="3"/>
      <c r="BC69" s="1"/>
      <c r="BD69" s="3"/>
    </row>
    <row r="70" spans="50:56" x14ac:dyDescent="0.25">
      <c r="AX70" s="1"/>
      <c r="AY70" s="3"/>
      <c r="BC70" s="1"/>
      <c r="BD70" s="3"/>
    </row>
  </sheetData>
  <mergeCells count="35">
    <mergeCell ref="BH33:BI33"/>
    <mergeCell ref="BH25:BI25"/>
    <mergeCell ref="BH16:BI16"/>
    <mergeCell ref="BH7:BI7"/>
    <mergeCell ref="AI10:AJ10"/>
    <mergeCell ref="AD3:AE3"/>
    <mergeCell ref="AI3:AJ3"/>
    <mergeCell ref="BC3:BD3"/>
    <mergeCell ref="BC15:BD15"/>
    <mergeCell ref="BM22:BN22"/>
    <mergeCell ref="BM12:BN12"/>
    <mergeCell ref="BM3:BN3"/>
    <mergeCell ref="AN3:AO3"/>
    <mergeCell ref="AS3:AT3"/>
    <mergeCell ref="AS9:AT9"/>
    <mergeCell ref="AS15:AT15"/>
    <mergeCell ref="AX3:AY3"/>
    <mergeCell ref="BH3:BI3"/>
    <mergeCell ref="AX15:AY15"/>
    <mergeCell ref="Y45:Z45"/>
    <mergeCell ref="R3:U3"/>
    <mergeCell ref="Y7:Z7"/>
    <mergeCell ref="C25:D25"/>
    <mergeCell ref="C38:D38"/>
    <mergeCell ref="C22:D22"/>
    <mergeCell ref="C3:D3"/>
    <mergeCell ref="Y35:Z35"/>
    <mergeCell ref="Y27:Z27"/>
    <mergeCell ref="Y22:Z22"/>
    <mergeCell ref="H3:I3"/>
    <mergeCell ref="Y16:Z16"/>
    <mergeCell ref="Y3:Z3"/>
    <mergeCell ref="C6:D6"/>
    <mergeCell ref="C15:D15"/>
    <mergeCell ref="M3:N3"/>
  </mergeCells>
  <dataValidations count="6">
    <dataValidation type="list" errorStyle="warning" showInputMessage="1" promptTitle="DeRiScOpE" sqref="AO13 AY13 BD13" xr:uid="{0750429E-0B2D-44E4-B7AA-1F75B30FD986}">
      <formula1>"%,B,bp,K,M,N"</formula1>
    </dataValidation>
    <dataValidation type="list" errorStyle="warning" showInputMessage="1" promptTitle="DeRiScOpE" sqref="BN17 BN27" xr:uid="{583996A1-00F1-4F02-9122-091A978E9DC2}">
      <formula1>"By Date,By Period Minus,By Period Plus"</formula1>
    </dataValidation>
    <dataValidation type="list" errorStyle="warning" showInputMessage="1" promptTitle="DeRiScOpE" sqref="D19 D43 I17 I9" xr:uid="{A8794211-AEFE-4AA3-BAD4-29209319C0C1}">
      <formula1>"False,True"</formula1>
    </dataValidation>
    <dataValidation type="list" errorStyle="warning" showInputMessage="1" promptTitle="DeRiScOpE" sqref="I31" xr:uid="{F0C38002-281F-4F79-BA4C-D3736F9A6427}">
      <formula1>"All,Custom,FixDt,FixDt-Amt,FixDt-Index,FixDt-Index-Amt,FixDt-Index-NetAmt,FixDt-NetAmt,FixDt-PmtDt-Index-Amt,FixDt-PmtDt-Index-NetAmt,Max,None,PmtDt-Amt,PmtDt-NetAmt"</formula1>
    </dataValidation>
    <dataValidation type="list" errorStyle="warning" showInputMessage="1" promptTitle="DeRiScOpE" sqref="I8" xr:uid="{5D461E76-22D5-48A4-A9F3-AC5ECADBC822}">
      <formula1>"#PmtDate,#Amount"</formula1>
    </dataValidation>
    <dataValidation type="list" errorStyle="warning" showInputMessage="1" promptTitle="DeRiScOpE" sqref="BD10" xr:uid="{BC677459-1AE9-47D0-9105-38A9162345DB}">
      <formula1>"Roll Crv to Hor,Shorten Spot"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D79FD-4CE9-4AFD-B7CD-2DC74B6CEDF0}">
  <dimension ref="B1:U30"/>
  <sheetViews>
    <sheetView workbookViewId="0">
      <selection activeCell="D25" sqref="D25"/>
    </sheetView>
  </sheetViews>
  <sheetFormatPr defaultRowHeight="15" x14ac:dyDescent="0.25"/>
  <cols>
    <col min="1" max="2" width="2.7109375" customWidth="1"/>
    <col min="3" max="3" width="17.28515625" bestFit="1" customWidth="1"/>
    <col min="4" max="4" width="19.42578125" bestFit="1" customWidth="1"/>
    <col min="5" max="5" width="2.85546875" customWidth="1"/>
    <col min="6" max="6" width="2.7109375" customWidth="1"/>
    <col min="7" max="7" width="2.85546875" customWidth="1"/>
    <col min="8" max="8" width="27.7109375" bestFit="1" customWidth="1"/>
    <col min="9" max="9" width="19.7109375" bestFit="1" customWidth="1"/>
    <col min="10" max="10" width="27.7109375" bestFit="1" customWidth="1"/>
    <col min="11" max="11" width="26.42578125" bestFit="1" customWidth="1"/>
    <col min="12" max="14" width="2.7109375" customWidth="1"/>
    <col min="15" max="15" width="16.28515625" bestFit="1" customWidth="1"/>
    <col min="16" max="16" width="17.5703125" customWidth="1"/>
    <col min="17" max="19" width="2.5703125" customWidth="1"/>
    <col min="21" max="21" width="3.28515625" customWidth="1"/>
    <col min="22" max="22" width="2.5703125" customWidth="1"/>
  </cols>
  <sheetData>
    <row r="1" spans="2:21" ht="15.75" thickBot="1" x14ac:dyDescent="0.3"/>
    <row r="2" spans="2:21" ht="15.75" thickTop="1" x14ac:dyDescent="0.25">
      <c r="B2" s="11"/>
      <c r="C2" s="12"/>
      <c r="D2" s="12"/>
      <c r="E2" s="13"/>
      <c r="G2" s="11"/>
      <c r="H2" s="12"/>
      <c r="I2" s="12"/>
      <c r="J2" s="12"/>
      <c r="K2" s="12"/>
      <c r="L2" s="13"/>
      <c r="N2" s="11"/>
      <c r="O2" s="12"/>
      <c r="P2" s="12"/>
      <c r="Q2" s="13"/>
      <c r="S2" s="11"/>
      <c r="T2" s="12"/>
      <c r="U2" s="13"/>
    </row>
    <row r="3" spans="2:21" x14ac:dyDescent="0.25">
      <c r="B3" s="17"/>
      <c r="C3" s="66" t="s">
        <v>194</v>
      </c>
      <c r="D3" s="67"/>
      <c r="E3" s="18"/>
      <c r="G3" s="17"/>
      <c r="H3" s="66" t="s">
        <v>195</v>
      </c>
      <c r="I3" s="67"/>
      <c r="J3" s="67"/>
      <c r="K3" s="67"/>
      <c r="L3" s="18"/>
      <c r="N3" s="17"/>
      <c r="O3" s="66" t="s">
        <v>196</v>
      </c>
      <c r="P3" s="67"/>
      <c r="Q3" s="18"/>
      <c r="S3" s="17"/>
      <c r="T3" s="63" t="s">
        <v>197</v>
      </c>
      <c r="U3" s="18"/>
    </row>
    <row r="4" spans="2:21" x14ac:dyDescent="0.25">
      <c r="B4" s="17"/>
      <c r="C4" s="5" t="str" cm="1">
        <f t="array" ref="C4">_xll.ds(C5:D6,C8:C10)</f>
        <v>&amp;Prtfl_C4:51.1</v>
      </c>
      <c r="D4" s="20"/>
      <c r="E4" s="18"/>
      <c r="G4" s="17"/>
      <c r="H4" s="5" t="str" cm="1">
        <f t="array" ref="H4">_xll.ds(H5:I7,H8,H9:K10)</f>
        <v>&amp;CarryTask_H4:51.1</v>
      </c>
      <c r="I4" s="20"/>
      <c r="J4" s="20"/>
      <c r="K4" s="20"/>
      <c r="L4" s="18"/>
      <c r="N4" s="17"/>
      <c r="O4" s="5" t="str" cm="1">
        <f t="array" ref="O4">_xll.ds(O5:P6)</f>
        <v>&amp;keyset__O4:51.1</v>
      </c>
      <c r="P4" s="20"/>
      <c r="Q4" s="18"/>
      <c r="S4" s="17"/>
      <c r="T4" s="56" cm="1">
        <f t="array" ref="T4:T5">_xll.ds("ObjectTools::Show","Reference=",$O$4,"Key=","CARRY","ExpandFinal=",TRUE)</f>
        <v>61.739277839660545</v>
      </c>
      <c r="U4" s="18"/>
    </row>
    <row r="5" spans="2:21" x14ac:dyDescent="0.25">
      <c r="B5" s="17"/>
      <c r="C5" s="1" t="s">
        <v>0</v>
      </c>
      <c r="D5" s="2" t="s">
        <v>198</v>
      </c>
      <c r="E5" s="18"/>
      <c r="G5" s="17"/>
      <c r="H5" s="1" t="s">
        <v>0</v>
      </c>
      <c r="I5" s="2" t="s">
        <v>199</v>
      </c>
      <c r="J5" s="20"/>
      <c r="K5" s="20"/>
      <c r="L5" s="18"/>
      <c r="N5" s="17"/>
      <c r="O5" s="1" t="s">
        <v>22</v>
      </c>
      <c r="P5" s="4" t="str">
        <f>$H$4</f>
        <v>&amp;CarryTask_H4:51.1</v>
      </c>
      <c r="Q5" s="18"/>
      <c r="S5" s="17"/>
      <c r="T5" s="56">
        <v>66.891403198242188</v>
      </c>
      <c r="U5" s="18"/>
    </row>
    <row r="6" spans="2:21" ht="15.75" thickBot="1" x14ac:dyDescent="0.3">
      <c r="B6" s="17"/>
      <c r="C6" s="1" t="s">
        <v>2</v>
      </c>
      <c r="D6" s="2" t="s">
        <v>3</v>
      </c>
      <c r="E6" s="18"/>
      <c r="G6" s="17"/>
      <c r="H6" s="1" t="s">
        <v>2</v>
      </c>
      <c r="I6" s="2" t="s">
        <v>3</v>
      </c>
      <c r="J6" s="20"/>
      <c r="K6" s="20"/>
      <c r="L6" s="18"/>
      <c r="N6" s="17"/>
      <c r="O6" s="1" t="s">
        <v>2</v>
      </c>
      <c r="P6" s="2" t="s">
        <v>200</v>
      </c>
      <c r="Q6" s="18"/>
      <c r="S6" s="14"/>
      <c r="T6" s="15"/>
      <c r="U6" s="16"/>
    </row>
    <row r="7" spans="2:21" ht="16.5" thickTop="1" thickBot="1" x14ac:dyDescent="0.3">
      <c r="B7" s="17"/>
      <c r="C7" s="20"/>
      <c r="D7" s="20"/>
      <c r="E7" s="18"/>
      <c r="G7" s="17"/>
      <c r="H7" s="1" t="s">
        <v>75</v>
      </c>
      <c r="I7" s="2" t="s">
        <v>201</v>
      </c>
      <c r="J7" s="20"/>
      <c r="K7" s="20"/>
      <c r="L7" s="18"/>
      <c r="N7" s="14"/>
      <c r="O7" s="15"/>
      <c r="P7" s="15"/>
      <c r="Q7" s="16"/>
    </row>
    <row r="8" spans="2:21" ht="15.75" thickTop="1" x14ac:dyDescent="0.25">
      <c r="B8" s="17"/>
      <c r="C8" s="1" t="s">
        <v>202</v>
      </c>
      <c r="D8" s="20"/>
      <c r="E8" s="18"/>
      <c r="G8" s="17"/>
      <c r="H8" s="1" t="s">
        <v>203</v>
      </c>
      <c r="I8" s="20"/>
      <c r="J8" s="20"/>
      <c r="K8" s="20"/>
      <c r="L8" s="18"/>
    </row>
    <row r="9" spans="2:21" x14ac:dyDescent="0.25">
      <c r="B9" s="17"/>
      <c r="C9" s="4" t="str">
        <f>CarryRoll!$C$26</f>
        <v>&amp;FxdBnd_C26:50.1</v>
      </c>
      <c r="D9" s="20"/>
      <c r="E9" s="18"/>
      <c r="G9" s="17"/>
      <c r="H9" s="2" t="s">
        <v>204</v>
      </c>
      <c r="I9" s="2" t="s">
        <v>205</v>
      </c>
      <c r="J9" s="2" t="s">
        <v>206</v>
      </c>
      <c r="K9" s="2" t="s">
        <v>210</v>
      </c>
      <c r="L9" s="18"/>
    </row>
    <row r="10" spans="2:21" x14ac:dyDescent="0.25">
      <c r="B10" s="17"/>
      <c r="C10" s="4" t="str">
        <f>$C$12</f>
        <v>&amp;Bond2_C12:51.1</v>
      </c>
      <c r="D10" s="20"/>
      <c r="E10" s="18"/>
      <c r="G10" s="17"/>
      <c r="H10" s="2" t="s">
        <v>24</v>
      </c>
      <c r="I10" s="4" t="str">
        <f>$C$4</f>
        <v>&amp;Prtfl_C4:51.1</v>
      </c>
      <c r="J10" s="4" t="str">
        <f>$H$12</f>
        <v>&amp;CarryCommonInput_H12:51.1</v>
      </c>
      <c r="K10" s="4" t="str">
        <f>$H$22</f>
        <v>&amp;CarryVaryingInput_H22:51.1</v>
      </c>
      <c r="L10" s="18"/>
      <c r="O10" s="5"/>
    </row>
    <row r="11" spans="2:21" x14ac:dyDescent="0.25">
      <c r="B11" s="17"/>
      <c r="C11" s="20"/>
      <c r="D11" s="20"/>
      <c r="E11" s="18"/>
      <c r="G11" s="17"/>
      <c r="H11" s="20"/>
      <c r="I11" s="20"/>
      <c r="J11" s="20"/>
      <c r="K11" s="20"/>
      <c r="L11" s="18"/>
      <c r="O11" s="1"/>
      <c r="P11" s="4"/>
    </row>
    <row r="12" spans="2:21" x14ac:dyDescent="0.25">
      <c r="B12" s="17"/>
      <c r="C12" s="5" t="str" cm="1">
        <f t="array" ref="C12">_xll.ds(C13:D16)</f>
        <v>&amp;Bond2_C12:51.1</v>
      </c>
      <c r="D12" s="20"/>
      <c r="E12" s="18"/>
      <c r="G12" s="17"/>
      <c r="H12" s="5" t="str" cm="1">
        <f t="array" ref="H12">_xll.ds(H13:I20)</f>
        <v>&amp;CarryCommonInput_H12:51.1</v>
      </c>
      <c r="I12" s="20"/>
      <c r="J12" s="20"/>
      <c r="K12" s="20"/>
      <c r="L12" s="18"/>
      <c r="O12" s="1"/>
      <c r="P12" s="2"/>
    </row>
    <row r="13" spans="2:21" x14ac:dyDescent="0.25">
      <c r="B13" s="17"/>
      <c r="C13" s="1" t="s">
        <v>22</v>
      </c>
      <c r="D13" s="4" t="str">
        <f>CarryRoll!$C$26</f>
        <v>&amp;FxdBnd_C26:50.1</v>
      </c>
      <c r="E13" s="18"/>
      <c r="G13" s="17"/>
      <c r="H13" s="1" t="s">
        <v>0</v>
      </c>
      <c r="I13" s="2" t="s">
        <v>207</v>
      </c>
      <c r="J13" s="20"/>
      <c r="K13" s="20"/>
      <c r="L13" s="18"/>
    </row>
    <row r="14" spans="2:21" x14ac:dyDescent="0.25">
      <c r="B14" s="17"/>
      <c r="C14" s="1" t="s">
        <v>2</v>
      </c>
      <c r="D14" s="2" t="s">
        <v>38</v>
      </c>
      <c r="E14" s="18"/>
      <c r="G14" s="17"/>
      <c r="H14" s="1" t="s">
        <v>2</v>
      </c>
      <c r="I14" s="2" t="s">
        <v>12</v>
      </c>
      <c r="J14" s="20"/>
      <c r="K14" s="20"/>
      <c r="L14" s="18"/>
    </row>
    <row r="15" spans="2:21" x14ac:dyDescent="0.25">
      <c r="B15" s="17"/>
      <c r="C15" s="1" t="s">
        <v>75</v>
      </c>
      <c r="D15" s="2" t="s">
        <v>208</v>
      </c>
      <c r="E15" s="18"/>
      <c r="G15" s="17"/>
      <c r="H15" s="1" t="s">
        <v>75</v>
      </c>
      <c r="I15" s="2" t="s">
        <v>211</v>
      </c>
      <c r="J15" s="20"/>
      <c r="K15" s="20"/>
      <c r="L15" s="18"/>
    </row>
    <row r="16" spans="2:21" x14ac:dyDescent="0.25">
      <c r="B16" s="17"/>
      <c r="C16" s="1" t="s">
        <v>7</v>
      </c>
      <c r="D16" s="4" t="str">
        <f>C18</f>
        <v>&amp;Sched2_C18:51.1</v>
      </c>
      <c r="E16" s="18"/>
      <c r="G16" s="17"/>
      <c r="H16" s="1" t="s">
        <v>39</v>
      </c>
      <c r="I16" s="6">
        <f>CarryRoll!$D$5</f>
        <v>44805</v>
      </c>
      <c r="J16" s="20"/>
      <c r="K16" s="20"/>
      <c r="L16" s="18"/>
    </row>
    <row r="17" spans="2:12" x14ac:dyDescent="0.25">
      <c r="B17" s="17"/>
      <c r="C17" s="20"/>
      <c r="D17" s="20"/>
      <c r="E17" s="18"/>
      <c r="G17" s="17"/>
      <c r="H17" s="1" t="s">
        <v>37</v>
      </c>
      <c r="I17" s="4">
        <f>CarryRoll!$D$17</f>
        <v>1</v>
      </c>
      <c r="J17" s="20"/>
      <c r="K17" s="20"/>
      <c r="L17" s="18"/>
    </row>
    <row r="18" spans="2:12" x14ac:dyDescent="0.25">
      <c r="B18" s="17"/>
      <c r="C18" s="5" t="str" cm="1">
        <f t="array" ref="C18">_xll.ds(C19:D22)</f>
        <v>&amp;Sched2_C18:51.1</v>
      </c>
      <c r="D18" s="20"/>
      <c r="E18" s="18"/>
      <c r="G18" s="17"/>
      <c r="H18" s="1" t="s">
        <v>26</v>
      </c>
      <c r="I18" s="4" t="str">
        <f>CarryRoll!$Y$36</f>
        <v>&amp;RepoConvs_Y36:50.1</v>
      </c>
      <c r="J18" s="20"/>
      <c r="K18" s="20"/>
      <c r="L18" s="18"/>
    </row>
    <row r="19" spans="2:12" x14ac:dyDescent="0.25">
      <c r="B19" s="17"/>
      <c r="C19" s="1" t="s">
        <v>22</v>
      </c>
      <c r="D19" s="4" t="str">
        <f>CarryRoll!$C$39</f>
        <v>&amp;Sched_C39:50.1</v>
      </c>
      <c r="E19" s="18"/>
      <c r="G19" s="17"/>
      <c r="H19" s="1" t="s">
        <v>35</v>
      </c>
      <c r="I19" s="2" t="s">
        <v>36</v>
      </c>
      <c r="J19" s="20"/>
      <c r="K19" s="20"/>
      <c r="L19" s="18"/>
    </row>
    <row r="20" spans="2:12" x14ac:dyDescent="0.25">
      <c r="B20" s="17"/>
      <c r="C20" s="1" t="s">
        <v>2</v>
      </c>
      <c r="D20" s="2" t="s">
        <v>38</v>
      </c>
      <c r="E20" s="18"/>
      <c r="G20" s="17"/>
      <c r="H20" s="1" t="s">
        <v>27</v>
      </c>
      <c r="I20" s="6">
        <f>CarryRoll!$D$23</f>
        <v>44537</v>
      </c>
      <c r="J20" s="20"/>
      <c r="K20" s="20"/>
      <c r="L20" s="18"/>
    </row>
    <row r="21" spans="2:12" x14ac:dyDescent="0.25">
      <c r="B21" s="17"/>
      <c r="C21" s="1" t="s">
        <v>75</v>
      </c>
      <c r="D21" s="2" t="s">
        <v>209</v>
      </c>
      <c r="E21" s="18"/>
      <c r="G21" s="17"/>
      <c r="H21" s="20"/>
      <c r="I21" s="20"/>
      <c r="J21" s="20"/>
      <c r="K21" s="20"/>
      <c r="L21" s="18"/>
    </row>
    <row r="22" spans="2:12" x14ac:dyDescent="0.25">
      <c r="B22" s="17"/>
      <c r="C22" s="1" t="s">
        <v>15</v>
      </c>
      <c r="D22" s="6">
        <f>CarryRoll!$D$9-365</f>
        <v>45994</v>
      </c>
      <c r="E22" s="18"/>
      <c r="G22" s="17"/>
      <c r="H22" s="5" t="str" cm="1">
        <f t="array" ref="H22">_xll.ds(H23:I25,H26,H27:H28)</f>
        <v>&amp;CarryVaryingInput_H22:51.1</v>
      </c>
      <c r="I22" s="20"/>
      <c r="J22" s="20"/>
      <c r="K22" s="20"/>
      <c r="L22" s="18"/>
    </row>
    <row r="23" spans="2:12" ht="15.75" thickBot="1" x14ac:dyDescent="0.3">
      <c r="B23" s="14"/>
      <c r="C23" s="15"/>
      <c r="D23" s="15"/>
      <c r="E23" s="16"/>
      <c r="G23" s="17"/>
      <c r="H23" s="1" t="s">
        <v>0</v>
      </c>
      <c r="I23" s="2" t="s">
        <v>207</v>
      </c>
      <c r="J23" s="20"/>
      <c r="K23" s="20"/>
      <c r="L23" s="18"/>
    </row>
    <row r="24" spans="2:12" ht="15.75" thickTop="1" x14ac:dyDescent="0.25">
      <c r="G24" s="17"/>
      <c r="H24" s="1" t="s">
        <v>2</v>
      </c>
      <c r="I24" s="2" t="s">
        <v>12</v>
      </c>
      <c r="J24" s="20"/>
      <c r="K24" s="20"/>
      <c r="L24" s="18"/>
    </row>
    <row r="25" spans="2:12" x14ac:dyDescent="0.25">
      <c r="G25" s="17"/>
      <c r="H25" s="1" t="s">
        <v>75</v>
      </c>
      <c r="I25" s="2" t="s">
        <v>212</v>
      </c>
      <c r="J25" s="20"/>
      <c r="K25" s="20"/>
      <c r="L25" s="18"/>
    </row>
    <row r="26" spans="2:12" x14ac:dyDescent="0.25">
      <c r="G26" s="17"/>
      <c r="H26" s="1" t="s">
        <v>25</v>
      </c>
      <c r="I26" s="20"/>
      <c r="J26" s="20"/>
      <c r="K26" s="20"/>
      <c r="L26" s="18"/>
    </row>
    <row r="27" spans="2:12" x14ac:dyDescent="0.25">
      <c r="G27" s="17"/>
      <c r="H27" s="2">
        <v>99</v>
      </c>
      <c r="I27" s="20"/>
      <c r="J27" s="20"/>
      <c r="K27" s="20"/>
      <c r="L27" s="18"/>
    </row>
    <row r="28" spans="2:12" x14ac:dyDescent="0.25">
      <c r="G28" s="17"/>
      <c r="H28" s="2">
        <v>101</v>
      </c>
      <c r="I28" s="20"/>
      <c r="J28" s="20"/>
      <c r="K28" s="20"/>
      <c r="L28" s="18"/>
    </row>
    <row r="29" spans="2:12" ht="15.75" thickBot="1" x14ac:dyDescent="0.3">
      <c r="G29" s="14"/>
      <c r="H29" s="15"/>
      <c r="I29" s="15"/>
      <c r="J29" s="15"/>
      <c r="K29" s="15"/>
      <c r="L29" s="16"/>
    </row>
    <row r="30" spans="2:12" ht="15.75" thickTop="1" x14ac:dyDescent="0.25"/>
  </sheetData>
  <mergeCells count="3">
    <mergeCell ref="C3:D3"/>
    <mergeCell ref="O3:P3"/>
    <mergeCell ref="H3:K3"/>
  </mergeCells>
  <dataValidations count="1">
    <dataValidation type="list" errorStyle="warning" showInputMessage="1" promptTitle="DeRiScOpE" sqref="I19" xr:uid="{B8CECA1C-7199-4F0D-B70D-4B297C7A4B6F}">
      <formula1>"%,B,bp,K,M,N"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</vt:lpstr>
      <vt:lpstr>Curves</vt:lpstr>
      <vt:lpstr>CarryRoll</vt:lpstr>
      <vt:lpstr>Portfolio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Ioannis</dc:creator>
  <cp:lastModifiedBy>Ioannis Rigopoulos</cp:lastModifiedBy>
  <dcterms:created xsi:type="dcterms:W3CDTF">2021-11-05T07:58:51Z</dcterms:created>
  <dcterms:modified xsi:type="dcterms:W3CDTF">2024-06-11T09:10:20Z</dcterms:modified>
</cp:coreProperties>
</file>